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0_3.bin" ContentType="application/vnd.openxmlformats-officedocument.oleObject"/>
  <Override PartName="/xl/embeddings/oleObject_0_4.bin" ContentType="application/vnd.openxmlformats-officedocument.oleObject"/>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45" windowWidth="14955" windowHeight="8445" activeTab="0"/>
  </bookViews>
  <sheets>
    <sheet name="Buoyancy FOS" sheetId="1" r:id="rId1"/>
    <sheet name="Sliding FOS" sheetId="2" r:id="rId2"/>
    <sheet name="Scour ELW" sheetId="3" r:id="rId3"/>
    <sheet name="Scour Sill" sheetId="4" r:id="rId4"/>
    <sheet name="Spacing" sheetId="5" r:id="rId5"/>
    <sheet name="Buried Tree Stability" sheetId="6" r:id="rId6"/>
    <sheet name="WS Superelevation" sheetId="7" r:id="rId7"/>
    <sheet name="Wood Prop" sheetId="8" r:id="rId8"/>
  </sheets>
  <definedNames>
    <definedName name="CDB" localSheetId="1">'Sliding FOS'!#REF!</definedName>
    <definedName name="CDRW" localSheetId="5">'Buried Tree Stability'!$E$3</definedName>
    <definedName name="CDRW" localSheetId="1">'Sliding FOS'!#REF!</definedName>
    <definedName name="CDRW" localSheetId="6">'WS Superelevation'!#REF!</definedName>
    <definedName name="DB" localSheetId="0">'Buoyancy FOS'!#REF!</definedName>
    <definedName name="DB" localSheetId="1">'Sliding FOS'!#REF!</definedName>
    <definedName name="DL" localSheetId="1">'Sliding FOS'!#REF!</definedName>
    <definedName name="DRW" localSheetId="5">'Buried Tree Stability'!$E$4</definedName>
    <definedName name="DRW" localSheetId="1">'Sliding FOS'!#REF!</definedName>
    <definedName name="DRW" localSheetId="6">'WS Superelevation'!#REF!</definedName>
    <definedName name="f" localSheetId="1">'Sliding FOS'!#REF!</definedName>
    <definedName name="L" localSheetId="1">'Sliding FOS'!#REF!</definedName>
    <definedName name="LRW" localSheetId="1">'Sliding FOS'!#REF!</definedName>
    <definedName name="LRW">'Buried Tree Stability'!$E$5</definedName>
    <definedName name="NB" localSheetId="0">'Buoyancy FOS'!#REF!</definedName>
    <definedName name="NB" localSheetId="1">'Sliding FOS'!#REF!</definedName>
    <definedName name="_xlnm.Print_Area" localSheetId="0">'Buoyancy FOS'!$A$1:$L$80</definedName>
    <definedName name="_xlnm.Print_Area" localSheetId="2">'Scour ELW'!$A$1:$L$21</definedName>
    <definedName name="_xlnm.Print_Area" localSheetId="3">'Scour Sill'!$A$1:$J$48</definedName>
    <definedName name="_xlnm.Print_Area" localSheetId="1">'Sliding FOS'!$A$1:$J$34</definedName>
    <definedName name="_xlnm.Print_Area" localSheetId="4">'Spacing'!$A$1:$L$16</definedName>
    <definedName name="SG" localSheetId="1">'Sliding FOS'!#REF!</definedName>
    <definedName name="SS" localSheetId="0">'Buoyancy FOS'!#REF!</definedName>
    <definedName name="SS" localSheetId="1">'Sliding FOS'!#REF!</definedName>
    <definedName name="V" localSheetId="5">'Buried Tree Stability'!$E$8</definedName>
    <definedName name="V" localSheetId="1">'Sliding FOS'!#REF!</definedName>
    <definedName name="V" localSheetId="6">'WS Superelevation'!#REF!</definedName>
    <definedName name="Voids" localSheetId="1">'Sliding FOS'!#REF!</definedName>
  </definedNames>
  <calcPr fullCalcOnLoad="1"/>
</workbook>
</file>

<file path=xl/comments8.xml><?xml version="1.0" encoding="utf-8"?>
<comments xmlns="http://schemas.openxmlformats.org/spreadsheetml/2006/main">
  <authors>
    <author>Scott Leavengood</author>
  </authors>
  <commentList>
    <comment ref="B12" authorId="0">
      <text>
        <r>
          <rPr>
            <b/>
            <sz val="8"/>
            <color indexed="10"/>
            <rFont val="Tahoma"/>
            <family val="2"/>
          </rPr>
          <t>Coastal</t>
        </r>
        <r>
          <rPr>
            <b/>
            <sz val="8"/>
            <rFont val="Tahoma"/>
            <family val="2"/>
          </rPr>
          <t xml:space="preserve"> Douglas-fir is defined as Douglas-fir growing in the States of Oregon and Washington west of the summit of the Cascade Mountains.  Intermediate includes the State of California and all counties in Oregon and Washington east of but adjacent to the Cascade summit.  Rocky Mountain north includes the remainder of Oregon and Washington and the States of Idaho, Montana, and Wyoming.  Rocky Mountain south includes Utah, Colorado, Arizona, and New Mexico. </t>
        </r>
      </text>
    </comment>
    <comment ref="B13" authorId="0">
      <text>
        <r>
          <rPr>
            <b/>
            <sz val="8"/>
            <rFont val="Tahoma"/>
            <family val="2"/>
          </rPr>
          <t xml:space="preserve">Coastal Douglas-fir is defined as Douglas-fir growing in the States of Oregon and Washington west of the summit of the Cascade Mountains.  Intermediate includes the State of California and all counties in Oregon and Washington east of but adjacent to the Cascade summit.  </t>
        </r>
        <r>
          <rPr>
            <b/>
            <sz val="8"/>
            <color indexed="10"/>
            <rFont val="Tahoma"/>
            <family val="2"/>
          </rPr>
          <t>Rocky Mountain north</t>
        </r>
        <r>
          <rPr>
            <b/>
            <sz val="8"/>
            <rFont val="Tahoma"/>
            <family val="2"/>
          </rPr>
          <t xml:space="preserve"> includes the remainder of Oregon and Washington and the States of Idaho, Montana, and Wyoming.  Rocky Mountain south includes Utah, Colorado, Arizona, and New Mexico.</t>
        </r>
        <r>
          <rPr>
            <sz val="8"/>
            <rFont val="Tahoma"/>
            <family val="2"/>
          </rPr>
          <t xml:space="preserve"> 
</t>
        </r>
      </text>
    </comment>
    <comment ref="B14" authorId="0">
      <text>
        <r>
          <rPr>
            <b/>
            <sz val="8"/>
            <rFont val="Tahoma"/>
            <family val="2"/>
          </rPr>
          <t xml:space="preserve">Coastal Douglas-fir is defined as Douglas-fir growing in the States of Oregon and Washington west of the summit of the Cascade Mountains.  Intermediate includes the State of California and all counties in Oregon and Washington east of but adjacent to the Cascade summit.  Rocky Mountain north includes the remainder of Oregon and Washington and the States of Idaho, Montana, and Wyoming.  </t>
        </r>
        <r>
          <rPr>
            <b/>
            <sz val="8"/>
            <color indexed="10"/>
            <rFont val="Tahoma"/>
            <family val="2"/>
          </rPr>
          <t>Rocky Mountain south</t>
        </r>
        <r>
          <rPr>
            <b/>
            <sz val="8"/>
            <rFont val="Tahoma"/>
            <family val="2"/>
          </rPr>
          <t xml:space="preserve"> includes Utah, Colorado, Arizona, and New Mexico. </t>
        </r>
        <r>
          <rPr>
            <sz val="8"/>
            <rFont val="Tahoma"/>
            <family val="2"/>
          </rPr>
          <t xml:space="preserve">
</t>
        </r>
      </text>
    </comment>
    <comment ref="B15" authorId="0">
      <text>
        <r>
          <rPr>
            <b/>
            <sz val="8"/>
            <rFont val="Tahoma"/>
            <family val="2"/>
          </rPr>
          <t xml:space="preserve">Coastal Douglas-fir is defined as Douglas-fir growing in the States of Oregon and Washington west of the summit of the Cascade Mountains.  </t>
        </r>
        <r>
          <rPr>
            <b/>
            <sz val="8"/>
            <color indexed="10"/>
            <rFont val="Tahoma"/>
            <family val="2"/>
          </rPr>
          <t>Intermediate</t>
        </r>
        <r>
          <rPr>
            <b/>
            <sz val="8"/>
            <rFont val="Tahoma"/>
            <family val="2"/>
          </rPr>
          <t xml:space="preserve"> includes the State of California and all counties in Oregon and Washington east of but adjacent to the Cascade summit.  Rocky Mountain north includes the remainder of Oregon and Washington and the States of Idaho, Montana, and Wyoming.  Rocky Mountain south includes Utah, Colorado, Arizona, and New Mexico. 
</t>
        </r>
      </text>
    </comment>
  </commentList>
</comments>
</file>

<file path=xl/sharedStrings.xml><?xml version="1.0" encoding="utf-8"?>
<sst xmlns="http://schemas.openxmlformats.org/spreadsheetml/2006/main" count="568" uniqueCount="371">
  <si>
    <r>
      <t>D</t>
    </r>
    <r>
      <rPr>
        <vertAlign val="subscript"/>
        <sz val="10"/>
        <rFont val="Arial"/>
        <family val="2"/>
      </rPr>
      <t>RW</t>
    </r>
    <r>
      <rPr>
        <sz val="10"/>
        <rFont val="Arial"/>
        <family val="0"/>
      </rPr>
      <t xml:space="preserve"> =</t>
    </r>
  </si>
  <si>
    <t>Number of Logs with Rootwads</t>
  </si>
  <si>
    <t>feet</t>
  </si>
  <si>
    <t>Average Rootwad Length</t>
  </si>
  <si>
    <r>
      <t>L</t>
    </r>
    <r>
      <rPr>
        <vertAlign val="subscript"/>
        <sz val="10"/>
        <rFont val="Arial"/>
        <family val="2"/>
      </rPr>
      <t>RW</t>
    </r>
    <r>
      <rPr>
        <sz val="10"/>
        <rFont val="Arial"/>
        <family val="0"/>
      </rPr>
      <t xml:space="preserve"> =</t>
    </r>
  </si>
  <si>
    <t>Tree Stem Average Length</t>
  </si>
  <si>
    <t>Tree Stem Average Diameter</t>
  </si>
  <si>
    <r>
      <t>D</t>
    </r>
    <r>
      <rPr>
        <vertAlign val="subscript"/>
        <sz val="10"/>
        <rFont val="Arial"/>
        <family val="2"/>
      </rPr>
      <t>TS</t>
    </r>
    <r>
      <rPr>
        <sz val="10"/>
        <rFont val="Arial"/>
        <family val="0"/>
      </rPr>
      <t xml:space="preserve"> =</t>
    </r>
  </si>
  <si>
    <r>
      <t>L</t>
    </r>
    <r>
      <rPr>
        <vertAlign val="subscript"/>
        <sz val="10"/>
        <rFont val="Arial"/>
        <family val="2"/>
      </rPr>
      <t>TS</t>
    </r>
    <r>
      <rPr>
        <sz val="10"/>
        <rFont val="Arial"/>
        <family val="0"/>
      </rPr>
      <t xml:space="preserve"> =</t>
    </r>
  </si>
  <si>
    <t>Proportion of Voids in Rootwad</t>
  </si>
  <si>
    <t>p =</t>
  </si>
  <si>
    <t>decimal %</t>
  </si>
  <si>
    <t>Specific Gravity of Large Wood</t>
  </si>
  <si>
    <r>
      <t>S</t>
    </r>
    <r>
      <rPr>
        <vertAlign val="subscript"/>
        <sz val="10"/>
        <rFont val="Arial"/>
        <family val="2"/>
      </rPr>
      <t>L</t>
    </r>
    <r>
      <rPr>
        <sz val="10"/>
        <rFont val="Arial"/>
        <family val="0"/>
      </rPr>
      <t xml:space="preserve"> =</t>
    </r>
  </si>
  <si>
    <t>pounds</t>
  </si>
  <si>
    <t>W' =</t>
  </si>
  <si>
    <t>Specific Gravity of Boulders</t>
  </si>
  <si>
    <r>
      <t>S</t>
    </r>
    <r>
      <rPr>
        <vertAlign val="subscript"/>
        <sz val="9"/>
        <rFont val="Arial"/>
        <family val="2"/>
      </rPr>
      <t>S</t>
    </r>
    <r>
      <rPr>
        <sz val="9"/>
        <rFont val="Arial"/>
        <family val="2"/>
      </rPr>
      <t xml:space="preserve">  =</t>
    </r>
  </si>
  <si>
    <r>
      <t>D</t>
    </r>
    <r>
      <rPr>
        <vertAlign val="subscript"/>
        <sz val="9"/>
        <rFont val="Arial"/>
        <family val="2"/>
      </rPr>
      <t>B</t>
    </r>
    <r>
      <rPr>
        <sz val="9"/>
        <rFont val="Arial"/>
        <family val="2"/>
      </rPr>
      <t xml:space="preserve"> =</t>
    </r>
  </si>
  <si>
    <r>
      <t>N</t>
    </r>
    <r>
      <rPr>
        <vertAlign val="subscript"/>
        <sz val="9"/>
        <rFont val="Arial"/>
        <family val="2"/>
      </rPr>
      <t>B</t>
    </r>
    <r>
      <rPr>
        <sz val="9"/>
        <rFont val="Arial"/>
        <family val="2"/>
      </rPr>
      <t xml:space="preserve"> =</t>
    </r>
  </si>
  <si>
    <t>BOULDER BALLAST</t>
  </si>
  <si>
    <t>TOP MEMBERS</t>
  </si>
  <si>
    <t>KEY "BASE" MEMBERS</t>
  </si>
  <si>
    <t>STACKED "MIDDLE" MEMBERS</t>
  </si>
  <si>
    <r>
      <t>FS</t>
    </r>
    <r>
      <rPr>
        <b/>
        <vertAlign val="subscript"/>
        <sz val="10"/>
        <rFont val="Arial"/>
        <family val="2"/>
      </rPr>
      <t>B</t>
    </r>
    <r>
      <rPr>
        <b/>
        <sz val="10"/>
        <rFont val="Arial"/>
        <family val="2"/>
      </rPr>
      <t xml:space="preserve"> =</t>
    </r>
  </si>
  <si>
    <r>
      <t>F</t>
    </r>
    <r>
      <rPr>
        <b/>
        <vertAlign val="subscript"/>
        <sz val="10"/>
        <rFont val="Arial"/>
        <family val="2"/>
      </rPr>
      <t>BL</t>
    </r>
    <r>
      <rPr>
        <b/>
        <sz val="10"/>
        <rFont val="Arial"/>
        <family val="2"/>
      </rPr>
      <t xml:space="preserve"> =</t>
    </r>
  </si>
  <si>
    <t>FACTOR OF SAFETY:  BUOYANCY</t>
  </si>
  <si>
    <r>
      <t>N</t>
    </r>
    <r>
      <rPr>
        <vertAlign val="subscript"/>
        <sz val="10"/>
        <rFont val="Arial"/>
        <family val="2"/>
      </rPr>
      <t>L</t>
    </r>
    <r>
      <rPr>
        <sz val="10"/>
        <rFont val="Arial"/>
        <family val="0"/>
      </rPr>
      <t xml:space="preserve"> =</t>
    </r>
  </si>
  <si>
    <t xml:space="preserve">A simplified approach is used to estimate buoyancy where the logs and ballast boulders in the log jam are fully submerged.  In addition, the log jam and boulders act as a </t>
  </si>
  <si>
    <t>composite structure and are assumed fully connected.  Water velocity inside the log jam is highly turbulent and near zero, therefore vertical uplift forces are assumed negligible.</t>
  </si>
  <si>
    <t xml:space="preserve">Table values from USDA Forest Service Forest Products Laboratory Publications:  </t>
  </si>
  <si>
    <r>
      <t>1999. Wood handbook: wood as an engineering material.</t>
    </r>
    <r>
      <rPr>
        <sz val="8"/>
        <color indexed="8"/>
        <rFont val="Arial"/>
        <family val="2"/>
      </rPr>
      <t xml:space="preserve">  General Technical Report, FPL-GTR-113</t>
    </r>
  </si>
  <si>
    <r>
      <t xml:space="preserve">Alden, H.A. 1995. </t>
    </r>
    <r>
      <rPr>
        <i/>
        <sz val="8"/>
        <rFont val="Arial"/>
        <family val="2"/>
      </rPr>
      <t>Hardwoods of North America</t>
    </r>
    <r>
      <rPr>
        <sz val="8"/>
        <rFont val="Arial"/>
        <family val="2"/>
      </rPr>
      <t xml:space="preserve">. General Technical Report FPL-GTR-83  </t>
    </r>
  </si>
  <si>
    <r>
      <t xml:space="preserve">Alden, H.A. 1997. </t>
    </r>
    <r>
      <rPr>
        <i/>
        <sz val="8"/>
        <rFont val="Arial"/>
        <family val="2"/>
      </rPr>
      <t>Softwoods of North America</t>
    </r>
    <r>
      <rPr>
        <sz val="8"/>
        <rFont val="Arial"/>
        <family val="2"/>
      </rPr>
      <t xml:space="preserve">. General Technical Report FPL-GTR-102 </t>
    </r>
  </si>
  <si>
    <r>
      <t xml:space="preserve">Simpson, W.T. 1991. </t>
    </r>
    <r>
      <rPr>
        <i/>
        <sz val="8"/>
        <rFont val="Arial"/>
        <family val="2"/>
      </rPr>
      <t>Dry Kiln Operator's Manual.  Agriculture Handbook 188</t>
    </r>
  </si>
  <si>
    <t>% Vol. Shrinkage GRN to OD</t>
  </si>
  <si>
    <t>ROUND TIMBER</t>
  </si>
  <si>
    <t xml:space="preserve"> </t>
  </si>
  <si>
    <r>
      <t xml:space="preserve">Notes regarding </t>
    </r>
    <r>
      <rPr>
        <b/>
        <sz val="10"/>
        <rFont val="Arial"/>
        <family val="2"/>
      </rPr>
      <t>heartwood color</t>
    </r>
  </si>
  <si>
    <t>LUMBER</t>
  </si>
  <si>
    <t>SPECIFIC</t>
  </si>
  <si>
    <t>GRAVITY</t>
  </si>
  <si>
    <t>Notes regarding</t>
  </si>
  <si>
    <t>Green lumber</t>
  </si>
  <si>
    <t>Dry 12% MC</t>
  </si>
  <si>
    <t>SPECIES</t>
  </si>
  <si>
    <t>Heartwood</t>
  </si>
  <si>
    <t>Sapwood</t>
  </si>
  <si>
    <t>Mixed</t>
  </si>
  <si>
    <t>sapwood width</t>
  </si>
  <si>
    <r>
      <t>(lbs/ft</t>
    </r>
    <r>
      <rPr>
        <vertAlign val="superscript"/>
        <sz val="9"/>
        <rFont val="Arial"/>
        <family val="2"/>
      </rPr>
      <t>3</t>
    </r>
    <r>
      <rPr>
        <sz val="9"/>
        <rFont val="Arial"/>
        <family val="2"/>
      </rPr>
      <t>)</t>
    </r>
  </si>
  <si>
    <r>
      <t>SG</t>
    </r>
    <r>
      <rPr>
        <b/>
        <vertAlign val="subscript"/>
        <sz val="8"/>
        <rFont val="Arial"/>
        <family val="2"/>
      </rPr>
      <t>GRN</t>
    </r>
  </si>
  <si>
    <r>
      <t>SG</t>
    </r>
    <r>
      <rPr>
        <b/>
        <vertAlign val="subscript"/>
        <sz val="8"/>
        <rFont val="Arial"/>
        <family val="2"/>
      </rPr>
      <t>12</t>
    </r>
  </si>
  <si>
    <t>redwood, old-growth</t>
  </si>
  <si>
    <t>narrow</t>
  </si>
  <si>
    <t>cherry to deep reddish brown</t>
  </si>
  <si>
    <t>CEDAR</t>
  </si>
  <si>
    <t>2-29% sapwood</t>
  </si>
  <si>
    <t>cedar, Alaska yellow-</t>
  </si>
  <si>
    <t>?</t>
  </si>
  <si>
    <t>Narrow</t>
  </si>
  <si>
    <t>yellow</t>
  </si>
  <si>
    <t>cedar, incense-</t>
  </si>
  <si>
    <t>reddish brown</t>
  </si>
  <si>
    <t>cedar, Northern white-</t>
  </si>
  <si>
    <t>Thin</t>
  </si>
  <si>
    <t>light to dark brown</t>
  </si>
  <si>
    <t>cedar, Port-Orford-</t>
  </si>
  <si>
    <t>1-3"</t>
  </si>
  <si>
    <t>light yellow to pale brown</t>
  </si>
  <si>
    <t>cedar, western redcedar</t>
  </si>
  <si>
    <t>Often not more than 1"</t>
  </si>
  <si>
    <t>DOUG-FIR</t>
  </si>
  <si>
    <t>10-16% Sapwood</t>
  </si>
  <si>
    <t>orange red, red, or yellow</t>
  </si>
  <si>
    <t>Douglas-fir, coastal</t>
  </si>
  <si>
    <r>
      <t>Narrow in O.G. 
up to 3" in 2</t>
    </r>
    <r>
      <rPr>
        <vertAlign val="superscript"/>
        <sz val="8"/>
        <rFont val="Arial"/>
        <family val="2"/>
      </rPr>
      <t>nd</t>
    </r>
    <r>
      <rPr>
        <sz val="8"/>
        <rFont val="Arial"/>
        <family val="2"/>
      </rPr>
      <t xml:space="preserve"> G.</t>
    </r>
  </si>
  <si>
    <t>Douglas-fir, Rky Mtn north</t>
  </si>
  <si>
    <t>Douglas-fir, Rky Mtn south</t>
  </si>
  <si>
    <t>Douglas-fir, intermediate</t>
  </si>
  <si>
    <t>FIR</t>
  </si>
  <si>
    <t>34% sapwood</t>
  </si>
  <si>
    <t>fir, balsam</t>
  </si>
  <si>
    <t>nearly white</t>
  </si>
  <si>
    <t>fir, California red</t>
  </si>
  <si>
    <t>fir, grand</t>
  </si>
  <si>
    <t>fir, noble</t>
  </si>
  <si>
    <t>fir, Pacific silver</t>
  </si>
  <si>
    <t>fir, subalpine</t>
  </si>
  <si>
    <t>fir, white</t>
  </si>
  <si>
    <t>nearly white to pale reddish brown</t>
  </si>
  <si>
    <t>HEMLOCK</t>
  </si>
  <si>
    <t>hemlock, eastern</t>
  </si>
  <si>
    <t>light reddish brown</t>
  </si>
  <si>
    <t>hemlock, western</t>
  </si>
  <si>
    <t>Generally not more than 1"</t>
  </si>
  <si>
    <t>LARCH</t>
  </si>
  <si>
    <t>larch, western</t>
  </si>
  <si>
    <t>russet to reddish brown</t>
  </si>
  <si>
    <t>tamarack</t>
  </si>
  <si>
    <t>Less than 1"</t>
  </si>
  <si>
    <t>russet brown</t>
  </si>
  <si>
    <t>PINE</t>
  </si>
  <si>
    <t>32% sapwood</t>
  </si>
  <si>
    <t>pine, eastern white</t>
  </si>
  <si>
    <t>cream to light reddish brown</t>
  </si>
  <si>
    <t>pine, lodgepole</t>
  </si>
  <si>
    <t>pine, ponderosa</t>
  </si>
  <si>
    <t>2" in older trees
 50% of volume in younger trees</t>
  </si>
  <si>
    <t>orange to reddish brown</t>
  </si>
  <si>
    <t>pine, red or Norway</t>
  </si>
  <si>
    <t>pine, loblolly</t>
  </si>
  <si>
    <r>
      <t>1-2" in O.G.          3-6+" in 2</t>
    </r>
    <r>
      <rPr>
        <vertAlign val="superscript"/>
        <sz val="8"/>
        <rFont val="Arial"/>
        <family val="2"/>
      </rPr>
      <t>nd</t>
    </r>
    <r>
      <rPr>
        <sz val="8"/>
        <rFont val="Arial"/>
        <family val="2"/>
      </rPr>
      <t xml:space="preserve"> G.</t>
    </r>
  </si>
  <si>
    <t>pine, longleaf</t>
  </si>
  <si>
    <r>
      <t>1-2" in O.G.           3-6+" in 2</t>
    </r>
    <r>
      <rPr>
        <vertAlign val="superscript"/>
        <sz val="8"/>
        <rFont val="Arial"/>
        <family val="2"/>
      </rPr>
      <t>nd</t>
    </r>
    <r>
      <rPr>
        <sz val="8"/>
        <rFont val="Arial"/>
        <family val="2"/>
      </rPr>
      <t xml:space="preserve"> G.</t>
    </r>
  </si>
  <si>
    <t>pine, shortleaf</t>
  </si>
  <si>
    <r>
      <t>3-6+" in 2</t>
    </r>
    <r>
      <rPr>
        <vertAlign val="superscript"/>
        <sz val="8"/>
        <rFont val="Arial"/>
        <family val="2"/>
      </rPr>
      <t>nd</t>
    </r>
    <r>
      <rPr>
        <sz val="8"/>
        <rFont val="Arial"/>
        <family val="2"/>
      </rPr>
      <t xml:space="preserve"> G</t>
    </r>
  </si>
  <si>
    <t>pine, sugar</t>
  </si>
  <si>
    <t>light creamy brown</t>
  </si>
  <si>
    <t>pine, western white</t>
  </si>
  <si>
    <t>SPRUCE</t>
  </si>
  <si>
    <t>2-41% sapwood</t>
  </si>
  <si>
    <t>spruce, black</t>
  </si>
  <si>
    <t>spruce, Engelmann</t>
  </si>
  <si>
    <t>0.75 to 2"</t>
  </si>
  <si>
    <t>spruce, Sitka</t>
  </si>
  <si>
    <t>3-6" or wider in younger trees</t>
  </si>
  <si>
    <t>spruce, white</t>
  </si>
  <si>
    <t>Commercial Hardwoods</t>
  </si>
  <si>
    <t>alder, red</t>
  </si>
  <si>
    <t>pale pinkish brown</t>
  </si>
  <si>
    <t>aspen, quaking</t>
  </si>
  <si>
    <t>light brown</t>
  </si>
  <si>
    <t>basswood, American</t>
  </si>
  <si>
    <t>creamy white to creamy brown sometimes reddish</t>
  </si>
  <si>
    <t>beech, American</t>
  </si>
  <si>
    <t>white with reddish tinge to reddish brown</t>
  </si>
  <si>
    <t>buckeye, yellow</t>
  </si>
  <si>
    <t>light brown with reddish tinge</t>
  </si>
  <si>
    <t>butternut</t>
  </si>
  <si>
    <t>cherry, black</t>
  </si>
  <si>
    <t>light to dark reddish brown</t>
  </si>
  <si>
    <t>cottonwood, black</t>
  </si>
  <si>
    <t>grayish white to light grayish brown</t>
  </si>
  <si>
    <t>locust, black</t>
  </si>
  <si>
    <t>contains few growth rings &amp; sometimes does not exceed 1/2"</t>
  </si>
  <si>
    <t>golden brown with greenish tinge</t>
  </si>
  <si>
    <t>sweetgum</t>
  </si>
  <si>
    <t>elm, American</t>
  </si>
  <si>
    <t>light grayish brown with reddish tinge</t>
  </si>
  <si>
    <t>sycamore, American</t>
  </si>
  <si>
    <t>flesh brown</t>
  </si>
  <si>
    <t>walnut, black</t>
  </si>
  <si>
    <t>chocalate brown sometimes purplish streaks</t>
  </si>
  <si>
    <t>willow, black</t>
  </si>
  <si>
    <t>poplar-yellow</t>
  </si>
  <si>
    <t>yellowish brown with green or purple tinge</t>
  </si>
  <si>
    <t>ASH</t>
  </si>
  <si>
    <t>ash, black</t>
  </si>
  <si>
    <t>grayish brown</t>
  </si>
  <si>
    <t>ash, green</t>
  </si>
  <si>
    <t>ash, American white</t>
  </si>
  <si>
    <t>grayish brown with reddish tinge</t>
  </si>
  <si>
    <t>BIRCH</t>
  </si>
  <si>
    <t>birch, paper</t>
  </si>
  <si>
    <t>birch, yellow</t>
  </si>
  <si>
    <t>HICKORY</t>
  </si>
  <si>
    <t>hickory, bitternut</t>
  </si>
  <si>
    <t>hickory, mockernut</t>
  </si>
  <si>
    <t>hickory, pignut</t>
  </si>
  <si>
    <t>hickory, water</t>
  </si>
  <si>
    <t>MAPLE</t>
  </si>
  <si>
    <t>maple, soft (silver)</t>
  </si>
  <si>
    <t>maple, hard (sugar)</t>
  </si>
  <si>
    <t>OAK</t>
  </si>
  <si>
    <t>oak, Northern red</t>
  </si>
  <si>
    <t>grayish brown with fleshy tinge</t>
  </si>
  <si>
    <t>oak, Southern red</t>
  </si>
  <si>
    <t>oak, Southern swamp</t>
  </si>
  <si>
    <t>oak, white</t>
  </si>
  <si>
    <t>TUPELO</t>
  </si>
  <si>
    <t>tupelo, black</t>
  </si>
  <si>
    <t>brownish gray</t>
  </si>
  <si>
    <t>tupelo, swamp</t>
  </si>
  <si>
    <t>tupelo, water</t>
  </si>
  <si>
    <t>G r e e n   M C (%)</t>
  </si>
  <si>
    <t>specific gravity</t>
  </si>
  <si>
    <t>Wood Volume =</t>
  </si>
  <si>
    <t>cubic feet per member</t>
  </si>
  <si>
    <t>A minimum factor of safety against buoyancy should be 1.5 with an ideal F.O.S. greater than 2.0.</t>
  </si>
  <si>
    <t>equivalent Diameter of Boulder</t>
  </si>
  <si>
    <t>(ft) Effective length of log jam protruding into flow</t>
  </si>
  <si>
    <t>(ft) Average upstream flow depth in channel</t>
  </si>
  <si>
    <t>Fr =</t>
  </si>
  <si>
    <r>
      <t>L</t>
    </r>
    <r>
      <rPr>
        <vertAlign val="subscript"/>
        <sz val="10"/>
        <rFont val="Arial"/>
        <family val="2"/>
      </rPr>
      <t>e</t>
    </r>
    <r>
      <rPr>
        <sz val="10"/>
        <rFont val="Arial"/>
        <family val="0"/>
      </rPr>
      <t xml:space="preserve"> =</t>
    </r>
  </si>
  <si>
    <r>
      <t>d</t>
    </r>
    <r>
      <rPr>
        <vertAlign val="subscript"/>
        <sz val="10"/>
        <rFont val="Arial"/>
        <family val="2"/>
      </rPr>
      <t>1</t>
    </r>
    <r>
      <rPr>
        <sz val="10"/>
        <rFont val="Arial"/>
        <family val="0"/>
      </rPr>
      <t xml:space="preserve"> =</t>
    </r>
  </si>
  <si>
    <t>(ft) Depth of scour below existing streambed</t>
  </si>
  <si>
    <r>
      <t>d</t>
    </r>
    <r>
      <rPr>
        <vertAlign val="subscript"/>
        <sz val="10"/>
        <rFont val="Arial"/>
        <family val="2"/>
      </rPr>
      <t>s</t>
    </r>
    <r>
      <rPr>
        <sz val="10"/>
        <rFont val="Arial"/>
        <family val="0"/>
      </rPr>
      <t xml:space="preserve"> =</t>
    </r>
  </si>
  <si>
    <t>Number of Boulders Submerged</t>
  </si>
  <si>
    <t>Number of Boulders above water level</t>
  </si>
  <si>
    <r>
      <t>N</t>
    </r>
    <r>
      <rPr>
        <vertAlign val="subscript"/>
        <sz val="9"/>
        <rFont val="Arial"/>
        <family val="2"/>
      </rPr>
      <t>BU</t>
    </r>
    <r>
      <rPr>
        <sz val="9"/>
        <rFont val="Arial"/>
        <family val="2"/>
      </rPr>
      <t xml:space="preserve"> =</t>
    </r>
  </si>
  <si>
    <t>(pounds) effective weight per submerged boulder</t>
  </si>
  <si>
    <t>W =</t>
  </si>
  <si>
    <t>Total Effective Weight for all Boulders =</t>
  </si>
  <si>
    <t>(pounds)  weight per boulder</t>
  </si>
  <si>
    <t>Scour around an engineered log jam (ELJ) can be determined by treating the ELJ like an abutment in the flow provided it extends
vertically from the bed of the stream to at least bankfull flow and is relatively impermeable.  Pierre Julien (River Mechanics p. 313)
presents Karaki's &amp; Richardson's equation for scour at an abutment to estimate scour depths utilized in this spreadsheet.</t>
  </si>
  <si>
    <t>V =</t>
  </si>
  <si>
    <t>fps</t>
  </si>
  <si>
    <r>
      <t>F</t>
    </r>
    <r>
      <rPr>
        <vertAlign val="subscript"/>
        <sz val="10"/>
        <rFont val="Arial"/>
        <family val="2"/>
      </rPr>
      <t>F</t>
    </r>
    <r>
      <rPr>
        <sz val="10"/>
        <rFont val="Arial"/>
        <family val="0"/>
      </rPr>
      <t xml:space="preserve"> =</t>
    </r>
  </si>
  <si>
    <r>
      <t>FS</t>
    </r>
    <r>
      <rPr>
        <b/>
        <vertAlign val="subscript"/>
        <sz val="10"/>
        <rFont val="Arial"/>
        <family val="2"/>
      </rPr>
      <t>S</t>
    </r>
    <r>
      <rPr>
        <b/>
        <sz val="10"/>
        <rFont val="Arial"/>
        <family val="2"/>
      </rPr>
      <t xml:space="preserve"> =</t>
    </r>
  </si>
  <si>
    <t>A =</t>
  </si>
  <si>
    <t>sq. ft.</t>
  </si>
  <si>
    <r>
      <t>A</t>
    </r>
    <r>
      <rPr>
        <vertAlign val="subscript"/>
        <sz val="10"/>
        <rFont val="Arial"/>
        <family val="2"/>
      </rPr>
      <t>ELJ</t>
    </r>
    <r>
      <rPr>
        <sz val="10"/>
        <rFont val="Arial"/>
        <family val="0"/>
      </rPr>
      <t xml:space="preserve"> =</t>
    </r>
  </si>
  <si>
    <r>
      <t>Ф</t>
    </r>
    <r>
      <rPr>
        <sz val="10"/>
        <rFont val="Arial"/>
        <family val="0"/>
      </rPr>
      <t xml:space="preserve"> =</t>
    </r>
  </si>
  <si>
    <t>degrees</t>
  </si>
  <si>
    <t>Max Stream Velocity at ELJ</t>
  </si>
  <si>
    <t>APPARENT DRAG COEFFICIENT</t>
  </si>
  <si>
    <r>
      <t>C</t>
    </r>
    <r>
      <rPr>
        <vertAlign val="subscript"/>
        <sz val="10"/>
        <rFont val="Arial"/>
        <family val="2"/>
      </rPr>
      <t>D</t>
    </r>
    <r>
      <rPr>
        <vertAlign val="superscript"/>
        <sz val="10"/>
        <rFont val="Arial"/>
        <family val="2"/>
      </rPr>
      <t>app</t>
    </r>
    <r>
      <rPr>
        <sz val="10"/>
        <rFont val="Arial"/>
        <family val="0"/>
      </rPr>
      <t xml:space="preserve"> =</t>
    </r>
  </si>
  <si>
    <r>
      <t>C</t>
    </r>
    <r>
      <rPr>
        <vertAlign val="subscript"/>
        <sz val="10"/>
        <rFont val="Arial"/>
        <family val="2"/>
      </rPr>
      <t>D</t>
    </r>
    <r>
      <rPr>
        <sz val="10"/>
        <rFont val="Arial"/>
        <family val="2"/>
      </rPr>
      <t xml:space="preserve"> =</t>
    </r>
  </si>
  <si>
    <t>Horizontal Drag Force on ELJ</t>
  </si>
  <si>
    <r>
      <t>F</t>
    </r>
    <r>
      <rPr>
        <vertAlign val="subscript"/>
        <sz val="10"/>
        <rFont val="Arial"/>
        <family val="2"/>
      </rPr>
      <t>D</t>
    </r>
    <r>
      <rPr>
        <sz val="10"/>
        <rFont val="Arial"/>
        <family val="0"/>
      </rPr>
      <t xml:space="preserve"> =</t>
    </r>
  </si>
  <si>
    <t>Horizontal Streambed Friction Resistance on ELJ</t>
  </si>
  <si>
    <t>Friction Factor of Logs on streambed f =</t>
  </si>
  <si>
    <r>
      <t>( W' - F</t>
    </r>
    <r>
      <rPr>
        <vertAlign val="subscript"/>
        <sz val="10"/>
        <rFont val="Arial"/>
        <family val="2"/>
      </rPr>
      <t>BL</t>
    </r>
    <r>
      <rPr>
        <sz val="10"/>
        <rFont val="Arial"/>
        <family val="0"/>
      </rPr>
      <t xml:space="preserve"> - F</t>
    </r>
    <r>
      <rPr>
        <vertAlign val="subscript"/>
        <sz val="10"/>
        <rFont val="Arial"/>
        <family val="2"/>
      </rPr>
      <t>LB</t>
    </r>
    <r>
      <rPr>
        <sz val="10"/>
        <rFont val="Arial"/>
        <family val="0"/>
      </rPr>
      <t xml:space="preserve"> ) f =</t>
    </r>
  </si>
  <si>
    <t>FACTOR OF SAFETY: SLIDING</t>
  </si>
  <si>
    <t>Cross-sectional area from HEC-RAS output, upstream of ELJ</t>
  </si>
  <si>
    <t>Effective waterway area obstructed by ELJ</t>
  </si>
  <si>
    <t>Type of streambed sediment</t>
  </si>
  <si>
    <t>Boulder</t>
  </si>
  <si>
    <t>Cobble</t>
  </si>
  <si>
    <t>Gravel</t>
  </si>
  <si>
    <t xml:space="preserve">Sand </t>
  </si>
  <si>
    <r>
      <t>Ф</t>
    </r>
    <r>
      <rPr>
        <sz val="10"/>
        <rFont val="Arial"/>
        <family val="0"/>
      </rPr>
      <t xml:space="preserve"> </t>
    </r>
  </si>
  <si>
    <t>Streambed</t>
  </si>
  <si>
    <t>Henderson pg. 420</t>
  </si>
  <si>
    <t>tangent of internal angle of streambed material</t>
  </si>
  <si>
    <t>Drag Coeff.</t>
  </si>
  <si>
    <t>Froude number upstream of ELJ (HEC-RAS Output)</t>
  </si>
  <si>
    <t>Calculations make several simplifying assumptions including 1) no resistance from burial of ELJ elements, 2) ELJ is
a solid structure,  3) frictional resistance is based on streambed material and normal force, and 4) ELJ is fully submerged.</t>
  </si>
  <si>
    <t>(ft) Maximum spacing…5 times effective length</t>
  </si>
  <si>
    <t>(ft) Radius of curvature at thalweg</t>
  </si>
  <si>
    <t>w =</t>
  </si>
  <si>
    <r>
      <t>R</t>
    </r>
    <r>
      <rPr>
        <vertAlign val="subscript"/>
        <sz val="10"/>
        <rFont val="Arial"/>
        <family val="2"/>
      </rPr>
      <t>c</t>
    </r>
    <r>
      <rPr>
        <sz val="10"/>
        <rFont val="Arial"/>
        <family val="0"/>
      </rPr>
      <t xml:space="preserve"> =</t>
    </r>
  </si>
  <si>
    <t>T =</t>
  </si>
  <si>
    <t>Tortuosity</t>
  </si>
  <si>
    <t>* Klingeman, Peter et.al., Streambank Erosion Protection and Channel Scour Manipulation Using Rockfill Dikes and Gabions, 1984.</t>
  </si>
  <si>
    <t>* Abbe, Timothy et.al., Bank Protection and Habitat Enhancement using Engineered Log Jams, Draft 2005.</t>
  </si>
  <si>
    <t>(ft) Bankfull width taken at upstream entrance to meander bend</t>
  </si>
  <si>
    <t>(ft) Minimum spacing...based on Tortuosity</t>
  </si>
  <si>
    <t>(ft) Minimum spacing…3 times effective length</t>
  </si>
  <si>
    <t>Spacing of ELJ's is highly dependant on the effective length of the log jam protruding into the flow path and the meander Tortuosity (radius of curvature / bankfull width). For low tortuosity (3 or less), spacing should be close to the minimum recommended below based on "spur dike &amp; groin" research.  For large ELJ's compared to bankfull width, spacing can lengthen beyond the maximum recommended below.</t>
  </si>
  <si>
    <t>Spacing based on Tortuosity</t>
  </si>
  <si>
    <t>X =</t>
  </si>
  <si>
    <r>
      <t>X</t>
    </r>
    <r>
      <rPr>
        <vertAlign val="subscript"/>
        <sz val="10"/>
        <rFont val="Arial"/>
        <family val="2"/>
      </rPr>
      <t xml:space="preserve">min </t>
    </r>
    <r>
      <rPr>
        <sz val="10"/>
        <rFont val="Arial"/>
        <family val="2"/>
      </rPr>
      <t>=</t>
    </r>
  </si>
  <si>
    <r>
      <t>X</t>
    </r>
    <r>
      <rPr>
        <vertAlign val="subscript"/>
        <sz val="10"/>
        <rFont val="Arial"/>
        <family val="2"/>
      </rPr>
      <t xml:space="preserve">max </t>
    </r>
    <r>
      <rPr>
        <sz val="10"/>
        <rFont val="Arial"/>
        <family val="2"/>
      </rPr>
      <t>=</t>
    </r>
  </si>
  <si>
    <t>Research &amp; Recommendations from:</t>
  </si>
  <si>
    <t>Spacing based on research*</t>
  </si>
  <si>
    <t>Allowable Soil Stress</t>
  </si>
  <si>
    <r>
      <t>S</t>
    </r>
    <r>
      <rPr>
        <vertAlign val="subscript"/>
        <sz val="9"/>
        <rFont val="Arial"/>
        <family val="2"/>
      </rPr>
      <t>1</t>
    </r>
    <r>
      <rPr>
        <sz val="9"/>
        <rFont val="Arial"/>
        <family val="2"/>
      </rPr>
      <t xml:space="preserve">  =</t>
    </r>
  </si>
  <si>
    <t>psf</t>
  </si>
  <si>
    <t>Rootwad Drag Coeff.</t>
  </si>
  <si>
    <r>
      <t>C</t>
    </r>
    <r>
      <rPr>
        <vertAlign val="subscript"/>
        <sz val="9"/>
        <rFont val="Arial"/>
        <family val="2"/>
      </rPr>
      <t>DRW</t>
    </r>
    <r>
      <rPr>
        <sz val="9"/>
        <rFont val="Arial"/>
        <family val="2"/>
      </rPr>
      <t xml:space="preserve"> =</t>
    </r>
  </si>
  <si>
    <t>Rootwad Projected Diameter</t>
  </si>
  <si>
    <r>
      <t>D</t>
    </r>
    <r>
      <rPr>
        <vertAlign val="subscript"/>
        <sz val="9"/>
        <rFont val="Arial"/>
        <family val="2"/>
      </rPr>
      <t xml:space="preserve">RW  </t>
    </r>
    <r>
      <rPr>
        <sz val="9"/>
        <rFont val="Arial"/>
        <family val="2"/>
      </rPr>
      <t>=</t>
    </r>
  </si>
  <si>
    <t>Root Wad Length</t>
  </si>
  <si>
    <r>
      <t>L</t>
    </r>
    <r>
      <rPr>
        <vertAlign val="subscript"/>
        <sz val="9"/>
        <rFont val="Arial"/>
        <family val="2"/>
      </rPr>
      <t xml:space="preserve">RW  </t>
    </r>
    <r>
      <rPr>
        <sz val="9"/>
        <rFont val="Arial"/>
        <family val="2"/>
      </rPr>
      <t>=</t>
    </r>
  </si>
  <si>
    <t>Distance from Streambank Surface
                 to end of Rootwad</t>
  </si>
  <si>
    <t>H =</t>
  </si>
  <si>
    <t>(Conservative approximation for load application point)</t>
  </si>
  <si>
    <t>Tree Stem Diameter</t>
  </si>
  <si>
    <r>
      <t>D</t>
    </r>
    <r>
      <rPr>
        <vertAlign val="subscript"/>
        <sz val="9"/>
        <rFont val="Arial"/>
        <family val="2"/>
      </rPr>
      <t xml:space="preserve">L   </t>
    </r>
    <r>
      <rPr>
        <sz val="9"/>
        <rFont val="Arial"/>
        <family val="2"/>
      </rPr>
      <t>=</t>
    </r>
  </si>
  <si>
    <t>Max Stream Velocity @ LWD</t>
  </si>
  <si>
    <t>Max. Horizontal Drag Force on Root Wad</t>
  </si>
  <si>
    <t>assumes root wad is circular plate suspended in flow</t>
  </si>
  <si>
    <t>density of water is 1.94 slugs per cu. ft.</t>
  </si>
  <si>
    <r>
      <t>F</t>
    </r>
    <r>
      <rPr>
        <vertAlign val="subscript"/>
        <sz val="10"/>
        <rFont val="Arial"/>
        <family val="2"/>
      </rPr>
      <t>DRW</t>
    </r>
    <r>
      <rPr>
        <sz val="10"/>
        <rFont val="Arial"/>
        <family val="0"/>
      </rPr>
      <t xml:space="preserve"> =</t>
    </r>
  </si>
  <si>
    <t>Required Tree Stem Embedment</t>
  </si>
  <si>
    <t xml:space="preserve">D = </t>
  </si>
  <si>
    <t>feet    (required depth of embedment)</t>
  </si>
  <si>
    <t>SOIL BALLAST</t>
  </si>
  <si>
    <t>Average Rootwad Fan Diameter</t>
  </si>
  <si>
    <t>Unit Weight of Dry Soil Backfill</t>
  </si>
  <si>
    <r>
      <t>lbs/ft</t>
    </r>
    <r>
      <rPr>
        <vertAlign val="superscript"/>
        <sz val="10"/>
        <rFont val="Arial"/>
        <family val="2"/>
      </rPr>
      <t>3</t>
    </r>
  </si>
  <si>
    <t>Saturated Unit Weight of Soil Backfill</t>
  </si>
  <si>
    <t>Buoyant Unit Weight of Soil Backfill</t>
  </si>
  <si>
    <r>
      <t>ft</t>
    </r>
    <r>
      <rPr>
        <vertAlign val="superscript"/>
        <sz val="9"/>
        <rFont val="Arial"/>
        <family val="2"/>
      </rPr>
      <t>2</t>
    </r>
  </si>
  <si>
    <t>Nominal Footprint Area of Soil Backfill</t>
  </si>
  <si>
    <r>
      <rPr>
        <sz val="12"/>
        <rFont val="Symbol"/>
        <family val="1"/>
      </rPr>
      <t>g</t>
    </r>
    <r>
      <rPr>
        <sz val="12"/>
        <rFont val="Arial"/>
        <family val="2"/>
      </rPr>
      <t>'</t>
    </r>
    <r>
      <rPr>
        <vertAlign val="subscript"/>
        <sz val="12"/>
        <rFont val="Arial"/>
        <family val="2"/>
      </rPr>
      <t>b</t>
    </r>
  </si>
  <si>
    <t>Compaction</t>
  </si>
  <si>
    <t>Very Loose</t>
  </si>
  <si>
    <t>Loose</t>
  </si>
  <si>
    <t>Medium</t>
  </si>
  <si>
    <t>Dense</t>
  </si>
  <si>
    <t>Very Dense</t>
  </si>
  <si>
    <t>Low</t>
  </si>
  <si>
    <t>Dr</t>
  </si>
  <si>
    <t>High</t>
  </si>
  <si>
    <t>Average</t>
  </si>
  <si>
    <t>Dr =</t>
  </si>
  <si>
    <t>e=</t>
  </si>
  <si>
    <t>Void Ratio</t>
  </si>
  <si>
    <t>Porosity</t>
  </si>
  <si>
    <t>n=</t>
  </si>
  <si>
    <t>Minimum Soil Dry Density</t>
  </si>
  <si>
    <t>Maximum Soil Dry Density</t>
  </si>
  <si>
    <t>Maximum</t>
  </si>
  <si>
    <t>Minimum</t>
  </si>
  <si>
    <t>Percent Relative Density</t>
  </si>
  <si>
    <t>S=</t>
  </si>
  <si>
    <t>Specific Gravity of Soil Particles</t>
  </si>
  <si>
    <t>w=</t>
  </si>
  <si>
    <t>Weight of Pore Water</t>
  </si>
  <si>
    <t>Total Effective Weight for all Soil Lifts =</t>
  </si>
  <si>
    <t>Depth of Soil Backfill above Water Level</t>
  </si>
  <si>
    <r>
      <rPr>
        <sz val="12"/>
        <rFont val="Symbol"/>
        <family val="1"/>
      </rPr>
      <t>g</t>
    </r>
    <r>
      <rPr>
        <vertAlign val="subscript"/>
        <sz val="12"/>
        <rFont val="Arial"/>
        <family val="2"/>
      </rPr>
      <t>sat</t>
    </r>
    <r>
      <rPr>
        <sz val="9"/>
        <rFont val="Arial"/>
        <family val="2"/>
      </rPr>
      <t>=</t>
    </r>
  </si>
  <si>
    <r>
      <rPr>
        <sz val="12"/>
        <rFont val="Symbol"/>
        <family val="1"/>
      </rPr>
      <t>g</t>
    </r>
    <r>
      <rPr>
        <vertAlign val="subscript"/>
        <sz val="12"/>
        <rFont val="Arial"/>
        <family val="2"/>
      </rPr>
      <t>d</t>
    </r>
    <r>
      <rPr>
        <sz val="9"/>
        <rFont val="Arial"/>
        <family val="2"/>
      </rPr>
      <t>=</t>
    </r>
  </si>
  <si>
    <r>
      <t>Z</t>
    </r>
    <r>
      <rPr>
        <vertAlign val="subscript"/>
        <sz val="9"/>
        <rFont val="Arial"/>
        <family val="2"/>
      </rPr>
      <t>B</t>
    </r>
    <r>
      <rPr>
        <sz val="9"/>
        <rFont val="Arial"/>
        <family val="2"/>
      </rPr>
      <t xml:space="preserve"> =</t>
    </r>
  </si>
  <si>
    <r>
      <t>Z</t>
    </r>
    <r>
      <rPr>
        <vertAlign val="subscript"/>
        <sz val="9"/>
        <rFont val="Arial"/>
        <family val="2"/>
      </rPr>
      <t>BU</t>
    </r>
    <r>
      <rPr>
        <sz val="9"/>
        <rFont val="Arial"/>
        <family val="2"/>
      </rPr>
      <t xml:space="preserve"> =</t>
    </r>
  </si>
  <si>
    <r>
      <t>A</t>
    </r>
    <r>
      <rPr>
        <vertAlign val="subscript"/>
        <sz val="9"/>
        <rFont val="Arial"/>
        <family val="2"/>
      </rPr>
      <t>BF</t>
    </r>
    <r>
      <rPr>
        <sz val="9"/>
        <rFont val="Arial"/>
        <family val="2"/>
      </rPr>
      <t>=</t>
    </r>
  </si>
  <si>
    <r>
      <rPr>
        <sz val="12"/>
        <rFont val="Symbol"/>
        <family val="1"/>
      </rPr>
      <t>g</t>
    </r>
    <r>
      <rPr>
        <vertAlign val="subscript"/>
        <sz val="12"/>
        <rFont val="Arial"/>
        <family val="2"/>
      </rPr>
      <t>d min=</t>
    </r>
  </si>
  <si>
    <r>
      <rPr>
        <sz val="12"/>
        <rFont val="Symbol"/>
        <family val="1"/>
      </rPr>
      <t>g</t>
    </r>
    <r>
      <rPr>
        <vertAlign val="subscript"/>
        <sz val="12"/>
        <rFont val="Arial"/>
        <family val="2"/>
      </rPr>
      <t>d max=</t>
    </r>
  </si>
  <si>
    <t>Degree of Saturation Below Water Level</t>
  </si>
  <si>
    <t>Additional Properties for Soil  Ballast (DAS)</t>
  </si>
  <si>
    <r>
      <t>Engineered Log Jam Calculations</t>
    </r>
    <r>
      <rPr>
        <sz val="8"/>
        <rFont val="Tahoma"/>
        <family val="2"/>
      </rPr>
      <t xml:space="preserve">
Spreadsheet developed by Scott Wright, P.E. -  revision 1.4</t>
    </r>
  </si>
  <si>
    <t>Methodology based on a standard force balance approach and information adapted from D'aoust &amp; Millar (2000). The designer should attain a minimum factor of safety of 2.0 for the ELJ.
The ELJ should act as a fully connected structure and all Soil Ballast should be designed against predicted scour forces.</t>
  </si>
  <si>
    <r>
      <t xml:space="preserve">Sliding Calculations for Engineered Log Jams 
Ballasted by Boulders
</t>
    </r>
    <r>
      <rPr>
        <sz val="9"/>
        <rFont val="Tahoma"/>
        <family val="2"/>
      </rPr>
      <t>Spreadsheet developed by Scott Wright, P.E.  -  revision 1.0</t>
    </r>
  </si>
  <si>
    <r>
      <t xml:space="preserve">Scour Calculations Around an Engineered Log Jam </t>
    </r>
    <r>
      <rPr>
        <sz val="8"/>
        <rFont val="Tahoma"/>
        <family val="2"/>
      </rPr>
      <t xml:space="preserve">
Spreadsheet developed by Scott Wright, P.E.  - revision 1.0</t>
    </r>
  </si>
  <si>
    <r>
      <t xml:space="preserve">Recommended Spacing for Engineered Log Jams </t>
    </r>
    <r>
      <rPr>
        <sz val="8"/>
        <rFont val="Tahoma"/>
        <family val="2"/>
      </rPr>
      <t xml:space="preserve">
Spreadsheet developed by Scott Wright, P.E.  -  revision 1.0</t>
    </r>
  </si>
  <si>
    <r>
      <t xml:space="preserve">Force Calculations for Single Large Rootwad Embedded Into Ground
</t>
    </r>
    <r>
      <rPr>
        <sz val="9"/>
        <rFont val="Tahoma"/>
        <family val="2"/>
      </rPr>
      <t>(Based on Lateral Stability of Embedded Poles, Structural Engineering Handbook)
Spreadsheet developed by Scott Wright, P.E.  -  revision 1.0</t>
    </r>
  </si>
  <si>
    <t>Depth of Soil Backfill Submerged</t>
  </si>
  <si>
    <r>
      <rPr>
        <sz val="10"/>
        <rFont val="Arial"/>
        <family val="0"/>
      </rPr>
      <t>S</t>
    </r>
    <r>
      <rPr>
        <vertAlign val="subscript"/>
        <sz val="10"/>
        <rFont val="Arial"/>
        <family val="2"/>
      </rPr>
      <t>soil</t>
    </r>
    <r>
      <rPr>
        <sz val="10"/>
        <rFont val="Arial"/>
        <family val="0"/>
      </rPr>
      <t xml:space="preserve">  =</t>
    </r>
  </si>
  <si>
    <t>Average Channel Velocity</t>
  </si>
  <si>
    <t>V  =</t>
  </si>
  <si>
    <t>Channel Top Width</t>
  </si>
  <si>
    <t>b =</t>
  </si>
  <si>
    <t>Radius of Curvature of the Channel</t>
  </si>
  <si>
    <r>
      <t>r</t>
    </r>
    <r>
      <rPr>
        <vertAlign val="subscript"/>
        <sz val="9"/>
        <rFont val="Arial"/>
        <family val="2"/>
      </rPr>
      <t>c</t>
    </r>
    <r>
      <rPr>
        <sz val="9"/>
        <rFont val="Arial"/>
        <family val="2"/>
      </rPr>
      <t xml:space="preserve"> =</t>
    </r>
  </si>
  <si>
    <t>Gravitational Acceleration</t>
  </si>
  <si>
    <t>g =</t>
  </si>
  <si>
    <r>
      <t>feet/sec</t>
    </r>
    <r>
      <rPr>
        <vertAlign val="superscript"/>
        <sz val="9"/>
        <rFont val="Arial"/>
        <family val="2"/>
      </rPr>
      <t>2</t>
    </r>
  </si>
  <si>
    <t>* Developed by Chow (1959) for a regular curved channel with a constant width.</t>
  </si>
  <si>
    <r>
      <t xml:space="preserve">Superelevation of Water Surface on Curves
</t>
    </r>
    <r>
      <rPr>
        <sz val="9"/>
        <rFont val="Tahoma"/>
        <family val="2"/>
      </rPr>
      <t>(Based on Determining the Water Surface in Curved Channels)
Spreadsheet developed by Scott Wright, P.E.  -  revision 1.0</t>
    </r>
  </si>
  <si>
    <t>Superelevation =</t>
  </si>
  <si>
    <t>feet (across entire river)</t>
  </si>
  <si>
    <t>Superelevation from Bank to Bank</t>
  </si>
  <si>
    <t>D A T A    E N T R Y</t>
  </si>
  <si>
    <t>q =</t>
  </si>
  <si>
    <t>cfs/ft</t>
  </si>
  <si>
    <t>Total drop in head from upstream to downstream energy grade line</t>
  </si>
  <si>
    <r>
      <t>H</t>
    </r>
    <r>
      <rPr>
        <vertAlign val="subscript"/>
        <sz val="9"/>
        <rFont val="Arial"/>
        <family val="2"/>
      </rPr>
      <t>t</t>
    </r>
    <r>
      <rPr>
        <sz val="9"/>
        <rFont val="Arial"/>
        <family val="2"/>
      </rPr>
      <t xml:space="preserve"> =</t>
    </r>
  </si>
  <si>
    <t>ft</t>
  </si>
  <si>
    <t>Tailwater depth immediately downstream of scour hole</t>
  </si>
  <si>
    <r>
      <t>d</t>
    </r>
    <r>
      <rPr>
        <vertAlign val="subscript"/>
        <sz val="9"/>
        <rFont val="Arial"/>
        <family val="2"/>
      </rPr>
      <t>m</t>
    </r>
    <r>
      <rPr>
        <sz val="9"/>
        <rFont val="Arial"/>
        <family val="2"/>
      </rPr>
      <t xml:space="preserve"> =</t>
    </r>
  </si>
  <si>
    <t>Coefficient</t>
  </si>
  <si>
    <t>K =</t>
  </si>
  <si>
    <t>dimensionless</t>
  </si>
  <si>
    <t>Critical depth of flow</t>
  </si>
  <si>
    <r>
      <t>y</t>
    </r>
    <r>
      <rPr>
        <vertAlign val="subscript"/>
        <sz val="10"/>
        <rFont val="Arial"/>
        <family val="2"/>
      </rPr>
      <t>c</t>
    </r>
    <r>
      <rPr>
        <sz val="10"/>
        <rFont val="Arial"/>
        <family val="0"/>
      </rPr>
      <t xml:space="preserve"> =</t>
    </r>
  </si>
  <si>
    <t>Median grain size of stream material being scoured</t>
  </si>
  <si>
    <r>
      <t>D</t>
    </r>
    <r>
      <rPr>
        <vertAlign val="subscript"/>
        <sz val="10"/>
        <rFont val="Arial"/>
        <family val="2"/>
      </rPr>
      <t>50</t>
    </r>
    <r>
      <rPr>
        <sz val="10"/>
        <rFont val="Arial"/>
        <family val="0"/>
      </rPr>
      <t xml:space="preserve"> =</t>
    </r>
  </si>
  <si>
    <r>
      <t>R</t>
    </r>
    <r>
      <rPr>
        <vertAlign val="subscript"/>
        <sz val="10"/>
        <rFont val="Arial"/>
        <family val="2"/>
      </rPr>
      <t>50</t>
    </r>
    <r>
      <rPr>
        <sz val="10"/>
        <rFont val="Arial"/>
        <family val="0"/>
      </rPr>
      <t xml:space="preserve"> =</t>
    </r>
  </si>
  <si>
    <t>Scour Depth Calculation - Vertical Drop Structure</t>
  </si>
  <si>
    <t>(metric equation)</t>
  </si>
  <si>
    <r>
      <t>d</t>
    </r>
    <r>
      <rPr>
        <b/>
        <vertAlign val="subscript"/>
        <sz val="10"/>
        <rFont val="Arial"/>
        <family val="2"/>
      </rPr>
      <t>s</t>
    </r>
    <r>
      <rPr>
        <b/>
        <sz val="10"/>
        <rFont val="Arial"/>
        <family val="2"/>
      </rPr>
      <t xml:space="preserve"> =</t>
    </r>
  </si>
  <si>
    <t xml:space="preserve"> feet below unscoured bed level</t>
  </si>
  <si>
    <t>Scour Depth Calculation - Sloping Sill</t>
  </si>
  <si>
    <t>Estimated discharge per unit width across structure</t>
  </si>
  <si>
    <t>Scour Depth Calculation - Veronese Equation for Vertical Drop Structure</t>
  </si>
  <si>
    <t>(25-yr event)</t>
  </si>
  <si>
    <t>Median rock size in structure</t>
  </si>
  <si>
    <r>
      <t>Scour Calculations at Drop Structures</t>
    </r>
    <r>
      <rPr>
        <sz val="16"/>
        <rFont val="Tahoma"/>
        <family val="2"/>
      </rPr>
      <t xml:space="preserve">
</t>
    </r>
    <r>
      <rPr>
        <sz val="9"/>
        <rFont val="Tahoma"/>
        <family val="2"/>
      </rPr>
      <t>-- U.S. Bureau of Reclamation Equation for Vertical Drop Structure --
-- Veronese Equation for Drop Structures --
-- Laursen and Flick Equation for Sloping Sill --
spreadsheet developed by Scott Wright, P.E.  -  revision 1.0</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</si>
</sst>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4">
    <font>
      <sz val="10"/>
      <name val="Arial"/>
      <family val="0"/>
    </font>
    <font>
      <sz val="11"/>
      <color indexed="8"/>
      <name val="Calibri"/>
      <family val="2"/>
    </font>
    <font>
      <vertAlign val="subscript"/>
      <sz val="10"/>
      <name val="Arial"/>
      <family val="2"/>
    </font>
    <font>
      <sz val="8"/>
      <name val="Arial"/>
      <family val="2"/>
    </font>
    <font>
      <b/>
      <sz val="10"/>
      <name val="Arial"/>
      <family val="2"/>
    </font>
    <font>
      <i/>
      <sz val="8"/>
      <name val="Arial"/>
      <family val="2"/>
    </font>
    <font>
      <sz val="9"/>
      <name val="Arial"/>
      <family val="2"/>
    </font>
    <font>
      <vertAlign val="subscript"/>
      <sz val="9"/>
      <name val="Arial"/>
      <family val="2"/>
    </font>
    <font>
      <b/>
      <vertAlign val="subscript"/>
      <sz val="10"/>
      <name val="Arial"/>
      <family val="2"/>
    </font>
    <font>
      <sz val="16"/>
      <name val="Tahoma"/>
      <family val="2"/>
    </font>
    <font>
      <sz val="8"/>
      <name val="Tahoma"/>
      <family val="2"/>
    </font>
    <font>
      <b/>
      <sz val="10"/>
      <color indexed="9"/>
      <name val="Arial"/>
      <family val="2"/>
    </font>
    <font>
      <b/>
      <sz val="8"/>
      <color indexed="8"/>
      <name val="Arial"/>
      <family val="2"/>
    </font>
    <font>
      <i/>
      <sz val="8"/>
      <color indexed="8"/>
      <name val="Arial"/>
      <family val="2"/>
    </font>
    <font>
      <sz val="8"/>
      <color indexed="8"/>
      <name val="Arial"/>
      <family val="2"/>
    </font>
    <font>
      <b/>
      <sz val="8"/>
      <name val="Arial"/>
      <family val="2"/>
    </font>
    <font>
      <b/>
      <sz val="9"/>
      <name val="Arial"/>
      <family val="2"/>
    </font>
    <font>
      <vertAlign val="superscript"/>
      <sz val="9"/>
      <name val="Arial"/>
      <family val="2"/>
    </font>
    <font>
      <b/>
      <vertAlign val="subscript"/>
      <sz val="8"/>
      <name val="Arial"/>
      <family val="2"/>
    </font>
    <font>
      <sz val="8"/>
      <color indexed="58"/>
      <name val="Arial"/>
      <family val="2"/>
    </font>
    <font>
      <vertAlign val="superscript"/>
      <sz val="8"/>
      <name val="Arial"/>
      <family val="2"/>
    </font>
    <font>
      <b/>
      <sz val="8"/>
      <color indexed="10"/>
      <name val="Tahoma"/>
      <family val="2"/>
    </font>
    <font>
      <b/>
      <sz val="8"/>
      <name val="Tahoma"/>
      <family val="2"/>
    </font>
    <font>
      <sz val="10"/>
      <color indexed="22"/>
      <name val="Arial"/>
      <family val="2"/>
    </font>
    <font>
      <sz val="9"/>
      <name val="Tahoma"/>
      <family val="2"/>
    </font>
    <font>
      <i/>
      <sz val="10"/>
      <name val="Arial"/>
      <family val="2"/>
    </font>
    <font>
      <sz val="10"/>
      <name val="Times New Roman"/>
      <family val="1"/>
    </font>
    <font>
      <vertAlign val="superscript"/>
      <sz val="10"/>
      <name val="Arial"/>
      <family val="2"/>
    </font>
    <font>
      <i/>
      <sz val="9"/>
      <name val="Times New Roman"/>
      <family val="1"/>
    </font>
    <font>
      <sz val="12"/>
      <name val="Tahoma"/>
      <family val="2"/>
    </font>
    <font>
      <sz val="10"/>
      <color indexed="9"/>
      <name val="Arial"/>
      <family val="2"/>
    </font>
    <font>
      <sz val="12"/>
      <name val="Arial"/>
      <family val="2"/>
    </font>
    <font>
      <sz val="12"/>
      <name val="Symbol"/>
      <family val="1"/>
    </font>
    <font>
      <vertAlign val="subscript"/>
      <sz val="12"/>
      <name val="Arial"/>
      <family val="2"/>
    </font>
    <font>
      <sz val="10"/>
      <color indexed="55"/>
      <name val="Arial"/>
      <family val="2"/>
    </font>
    <font>
      <sz val="11"/>
      <name val="Arial"/>
      <family val="2"/>
    </font>
    <font>
      <sz val="18"/>
      <name val="Tahoma"/>
      <family val="2"/>
    </font>
    <font>
      <b/>
      <sz val="12"/>
      <name val="Tahoma"/>
      <family val="2"/>
    </font>
    <font>
      <sz val="13"/>
      <name val="Tahoma"/>
      <family val="2"/>
    </font>
    <font>
      <sz val="13"/>
      <name val="Arial"/>
      <family val="0"/>
    </font>
    <font>
      <sz val="8"/>
      <name val="Tw Cen MT"/>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31"/>
        <bgColor indexed="64"/>
      </patternFill>
    </fill>
    <fill>
      <patternFill patternType="solid">
        <fgColor indexed="23"/>
        <bgColor indexed="64"/>
      </patternFill>
    </fill>
    <fill>
      <patternFill patternType="solid">
        <fgColor theme="3" tint="0.7999799847602844"/>
        <bgColor indexed="64"/>
      </patternFill>
    </fill>
    <fill>
      <patternFill patternType="solid">
        <fgColor indexed="55"/>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style="double"/>
      <right/>
      <top style="double"/>
      <bottom style="double"/>
    </border>
    <border>
      <left/>
      <right style="double"/>
      <top style="double"/>
      <bottom style="double"/>
    </border>
    <border>
      <left/>
      <right/>
      <top style="double"/>
      <bottom style="double"/>
    </border>
    <border>
      <left/>
      <right style="medium"/>
      <top style="medium"/>
      <bottom/>
    </border>
    <border>
      <left/>
      <right/>
      <top/>
      <bottom style="thick"/>
    </border>
    <border>
      <left/>
      <right/>
      <top style="double"/>
      <bottom/>
    </border>
    <border>
      <left/>
      <right style="double"/>
      <top style="double"/>
      <bottom/>
    </border>
    <border>
      <left/>
      <right/>
      <top/>
      <bottom style="double"/>
    </border>
    <border>
      <left/>
      <right style="double"/>
      <top/>
      <bottom style="double"/>
    </border>
    <border>
      <left/>
      <right style="double"/>
      <top/>
      <bottom/>
    </border>
    <border>
      <left style="double"/>
      <right/>
      <top style="double"/>
      <bottom/>
    </border>
    <border>
      <left style="double"/>
      <right/>
      <top/>
      <bottom/>
    </border>
    <border>
      <left style="double"/>
      <right/>
      <top/>
      <bottom style="double"/>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61">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33" borderId="15" xfId="0" applyFont="1" applyFill="1" applyBorder="1" applyAlignment="1">
      <alignment/>
    </xf>
    <xf numFmtId="0" fontId="6" fillId="0" borderId="0" xfId="0" applyFont="1" applyBorder="1" applyAlignment="1">
      <alignment/>
    </xf>
    <xf numFmtId="0" fontId="6" fillId="0" borderId="0" xfId="0" applyFont="1" applyBorder="1" applyAlignment="1">
      <alignment horizontal="right"/>
    </xf>
    <xf numFmtId="0" fontId="6" fillId="0" borderId="0" xfId="0" applyFont="1" applyBorder="1" applyAlignment="1">
      <alignment horizontal="right" vertical="top"/>
    </xf>
    <xf numFmtId="0" fontId="6" fillId="0" borderId="0" xfId="0" applyFont="1" applyBorder="1" applyAlignment="1">
      <alignment vertical="top"/>
    </xf>
    <xf numFmtId="164" fontId="6" fillId="0" borderId="0" xfId="0" applyNumberFormat="1" applyFont="1" applyFill="1" applyBorder="1" applyAlignment="1">
      <alignment horizontal="center" vertical="top"/>
    </xf>
    <xf numFmtId="0" fontId="4" fillId="0" borderId="0" xfId="0" applyFont="1" applyBorder="1" applyAlignment="1">
      <alignment horizontal="right"/>
    </xf>
    <xf numFmtId="164" fontId="4" fillId="0" borderId="0" xfId="0" applyNumberFormat="1" applyFont="1" applyBorder="1" applyAlignment="1">
      <alignment horizontal="center"/>
    </xf>
    <xf numFmtId="0" fontId="0" fillId="0" borderId="0" xfId="0" applyFont="1" applyBorder="1" applyAlignment="1">
      <alignment/>
    </xf>
    <xf numFmtId="0" fontId="12" fillId="0" borderId="0" xfId="0" applyFont="1" applyAlignment="1">
      <alignment/>
    </xf>
    <xf numFmtId="0" fontId="13" fillId="0" borderId="0" xfId="0" applyFont="1" applyAlignment="1">
      <alignment/>
    </xf>
    <xf numFmtId="0" fontId="3" fillId="0" borderId="0" xfId="0" applyFont="1" applyAlignment="1">
      <alignment/>
    </xf>
    <xf numFmtId="0" fontId="0" fillId="0" borderId="0" xfId="0" applyBorder="1" applyAlignment="1">
      <alignment horizontal="center"/>
    </xf>
    <xf numFmtId="0" fontId="19" fillId="0" borderId="0" xfId="0" applyFont="1" applyAlignment="1" applyProtection="1">
      <alignment/>
      <protection/>
    </xf>
    <xf numFmtId="0" fontId="19" fillId="0" borderId="0" xfId="0" applyFont="1" applyAlignment="1">
      <alignment/>
    </xf>
    <xf numFmtId="0" fontId="0" fillId="34" borderId="0" xfId="0" applyFill="1" applyBorder="1" applyAlignment="1" applyProtection="1">
      <alignment horizontal="center"/>
      <protection locked="0"/>
    </xf>
    <xf numFmtId="0" fontId="6" fillId="34" borderId="0" xfId="0" applyFont="1" applyFill="1" applyBorder="1" applyAlignment="1" applyProtection="1">
      <alignment horizontal="center" wrapText="1"/>
      <protection locked="0"/>
    </xf>
    <xf numFmtId="0" fontId="0" fillId="34" borderId="0" xfId="0" applyFill="1" applyBorder="1" applyAlignment="1" applyProtection="1">
      <alignment horizontal="center" wrapText="1"/>
      <protection locked="0"/>
    </xf>
    <xf numFmtId="0" fontId="0" fillId="34" borderId="0" xfId="0" applyFill="1" applyBorder="1" applyAlignment="1" applyProtection="1">
      <alignment/>
      <protection/>
    </xf>
    <xf numFmtId="0" fontId="0" fillId="34" borderId="0" xfId="0" applyFont="1" applyFill="1" applyBorder="1" applyAlignment="1" applyProtection="1">
      <alignment horizontal="center" wrapText="1"/>
      <protection locked="0"/>
    </xf>
    <xf numFmtId="0" fontId="16" fillId="34" borderId="0" xfId="0" applyFont="1" applyFill="1" applyBorder="1" applyAlignment="1" applyProtection="1">
      <alignment horizontal="center" wrapText="1"/>
      <protection locked="0"/>
    </xf>
    <xf numFmtId="0" fontId="16" fillId="34" borderId="0" xfId="0" applyFont="1" applyFill="1" applyBorder="1" applyAlignment="1" applyProtection="1">
      <alignment/>
      <protection/>
    </xf>
    <xf numFmtId="0" fontId="3" fillId="34" borderId="0" xfId="0" applyFont="1" applyFill="1" applyBorder="1" applyAlignment="1" applyProtection="1">
      <alignment/>
      <protection/>
    </xf>
    <xf numFmtId="0" fontId="15" fillId="34" borderId="0" xfId="0" applyFont="1" applyFill="1" applyBorder="1" applyAlignment="1" applyProtection="1">
      <alignment/>
      <protection/>
    </xf>
    <xf numFmtId="0" fontId="15" fillId="34" borderId="0" xfId="0"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locked="0"/>
    </xf>
    <xf numFmtId="0" fontId="3" fillId="0" borderId="0" xfId="0" applyFont="1" applyBorder="1" applyAlignment="1" applyProtection="1">
      <alignment/>
      <protection/>
    </xf>
    <xf numFmtId="0" fontId="6" fillId="0" borderId="0" xfId="0" applyFont="1" applyBorder="1" applyAlignment="1" applyProtection="1">
      <alignment horizontal="center"/>
      <protection/>
    </xf>
    <xf numFmtId="0" fontId="6" fillId="0" borderId="0" xfId="0" applyFont="1" applyBorder="1" applyAlignment="1" applyProtection="1">
      <alignment horizontal="center" wrapText="1"/>
      <protection/>
    </xf>
    <xf numFmtId="0" fontId="3" fillId="0" borderId="0" xfId="0" applyFont="1" applyBorder="1" applyAlignment="1" applyProtection="1">
      <alignment horizontal="left" wrapText="1"/>
      <protection locked="0"/>
    </xf>
    <xf numFmtId="0" fontId="3" fillId="0" borderId="0" xfId="0" applyFont="1" applyBorder="1" applyAlignment="1" applyProtection="1">
      <alignment horizontal="center" wrapText="1"/>
      <protection locked="0"/>
    </xf>
    <xf numFmtId="0" fontId="15" fillId="0" borderId="0" xfId="0" applyFont="1" applyBorder="1" applyAlignment="1" applyProtection="1">
      <alignment/>
      <protection/>
    </xf>
    <xf numFmtId="0" fontId="6" fillId="0" borderId="0" xfId="0" applyFont="1" applyBorder="1" applyAlignment="1" applyProtection="1">
      <alignment horizontal="center" wrapText="1"/>
      <protection locked="0"/>
    </xf>
    <xf numFmtId="0" fontId="15" fillId="0" borderId="0" xfId="0" applyFont="1" applyFill="1" applyBorder="1" applyAlignment="1" applyProtection="1">
      <alignment/>
      <protection/>
    </xf>
    <xf numFmtId="0" fontId="6" fillId="0" borderId="0" xfId="0" applyFont="1" applyBorder="1" applyAlignment="1" applyProtection="1">
      <alignment horizontal="left" wrapText="1"/>
      <protection locked="0"/>
    </xf>
    <xf numFmtId="0" fontId="0" fillId="34" borderId="0" xfId="0" applyFill="1" applyAlignment="1" applyProtection="1">
      <alignment/>
      <protection/>
    </xf>
    <xf numFmtId="0" fontId="3" fillId="0" borderId="0" xfId="0" applyFont="1" applyFill="1" applyBorder="1" applyAlignment="1" applyProtection="1">
      <alignment/>
      <protection/>
    </xf>
    <xf numFmtId="0" fontId="4" fillId="33" borderId="16" xfId="0" applyFont="1" applyFill="1" applyBorder="1" applyAlignment="1">
      <alignment/>
    </xf>
    <xf numFmtId="0" fontId="4" fillId="0" borderId="17" xfId="0" applyFont="1" applyBorder="1" applyAlignment="1">
      <alignment horizontal="right"/>
    </xf>
    <xf numFmtId="164" fontId="4" fillId="0" borderId="18" xfId="0" applyNumberFormat="1" applyFont="1" applyBorder="1" applyAlignment="1">
      <alignment horizontal="center"/>
    </xf>
    <xf numFmtId="0" fontId="0" fillId="0" borderId="0" xfId="0" applyAlignment="1">
      <alignment horizontal="right"/>
    </xf>
    <xf numFmtId="0" fontId="0" fillId="0" borderId="17" xfId="0" applyBorder="1" applyAlignment="1">
      <alignment horizontal="right"/>
    </xf>
    <xf numFmtId="2" fontId="4" fillId="0" borderId="19" xfId="0" applyNumberFormat="1" applyFont="1" applyBorder="1" applyAlignment="1">
      <alignment horizontal="center"/>
    </xf>
    <xf numFmtId="0" fontId="0" fillId="0" borderId="19" xfId="0" applyBorder="1" applyAlignment="1">
      <alignment/>
    </xf>
    <xf numFmtId="0" fontId="0" fillId="0" borderId="18" xfId="0" applyBorder="1" applyAlignment="1">
      <alignment/>
    </xf>
    <xf numFmtId="164" fontId="6" fillId="0" borderId="0" xfId="0" applyNumberFormat="1" applyFont="1" applyFill="1" applyBorder="1" applyAlignment="1">
      <alignment horizontal="center"/>
    </xf>
    <xf numFmtId="0" fontId="3" fillId="0" borderId="0" xfId="0" applyFont="1" applyBorder="1" applyAlignment="1">
      <alignment horizontal="right"/>
    </xf>
    <xf numFmtId="0" fontId="5" fillId="0" borderId="0" xfId="0" applyFont="1" applyBorder="1" applyAlignment="1">
      <alignment/>
    </xf>
    <xf numFmtId="2" fontId="0" fillId="0" borderId="0" xfId="0" applyNumberFormat="1" applyFill="1" applyBorder="1" applyAlignment="1">
      <alignment horizontal="center"/>
    </xf>
    <xf numFmtId="0" fontId="26" fillId="0" borderId="0" xfId="0" applyFont="1" applyAlignment="1">
      <alignment horizontal="right"/>
    </xf>
    <xf numFmtId="2" fontId="6" fillId="0" borderId="0" xfId="0" applyNumberFormat="1" applyFont="1" applyFill="1" applyBorder="1" applyAlignment="1">
      <alignment horizontal="center"/>
    </xf>
    <xf numFmtId="0" fontId="0" fillId="0" borderId="0" xfId="0" applyFont="1" applyAlignment="1">
      <alignment horizontal="right"/>
    </xf>
    <xf numFmtId="0" fontId="6" fillId="0" borderId="0" xfId="0" applyFont="1" applyFill="1" applyBorder="1" applyAlignment="1">
      <alignment horizontal="right"/>
    </xf>
    <xf numFmtId="0" fontId="6" fillId="0" borderId="11" xfId="0" applyFont="1" applyBorder="1" applyAlignment="1">
      <alignment/>
    </xf>
    <xf numFmtId="0" fontId="6" fillId="0" borderId="13" xfId="0" applyFont="1" applyBorder="1" applyAlignment="1">
      <alignment horizontal="right"/>
    </xf>
    <xf numFmtId="1" fontId="6" fillId="0" borderId="13" xfId="0" applyNumberFormat="1" applyFont="1" applyFill="1" applyBorder="1" applyAlignment="1">
      <alignment horizontal="center"/>
    </xf>
    <xf numFmtId="0" fontId="6" fillId="0" borderId="14" xfId="0" applyFont="1" applyBorder="1" applyAlignment="1">
      <alignment/>
    </xf>
    <xf numFmtId="0" fontId="16" fillId="33" borderId="16" xfId="0" applyFont="1" applyFill="1" applyBorder="1" applyAlignment="1">
      <alignment/>
    </xf>
    <xf numFmtId="0" fontId="16" fillId="33" borderId="16" xfId="0" applyFont="1" applyFill="1" applyBorder="1" applyAlignment="1">
      <alignment horizontal="right"/>
    </xf>
    <xf numFmtId="164" fontId="16" fillId="33" borderId="16" xfId="0" applyNumberFormat="1" applyFont="1" applyFill="1" applyBorder="1" applyAlignment="1">
      <alignment horizontal="center"/>
    </xf>
    <xf numFmtId="0" fontId="4" fillId="33" borderId="20" xfId="0" applyFont="1" applyFill="1" applyBorder="1" applyAlignment="1">
      <alignment/>
    </xf>
    <xf numFmtId="2" fontId="16" fillId="0" borderId="13" xfId="0" applyNumberFormat="1" applyFont="1" applyBorder="1" applyAlignment="1">
      <alignment horizontal="center"/>
    </xf>
    <xf numFmtId="0" fontId="0" fillId="0" borderId="12" xfId="0" applyBorder="1" applyAlignment="1">
      <alignment horizontal="right"/>
    </xf>
    <xf numFmtId="0" fontId="4" fillId="0" borderId="0" xfId="0" applyFont="1" applyFill="1" applyAlignment="1">
      <alignment horizontal="center"/>
    </xf>
    <xf numFmtId="0" fontId="15" fillId="0" borderId="0" xfId="0" applyFont="1" applyAlignment="1">
      <alignment horizontal="center"/>
    </xf>
    <xf numFmtId="0" fontId="0" fillId="0" borderId="21" xfId="0" applyBorder="1" applyAlignment="1">
      <alignment horizontal="center"/>
    </xf>
    <xf numFmtId="0" fontId="26" fillId="0" borderId="21" xfId="0" applyFont="1" applyBorder="1" applyAlignment="1">
      <alignment horizontal="center"/>
    </xf>
    <xf numFmtId="0" fontId="5" fillId="0" borderId="11" xfId="0" applyFont="1" applyBorder="1" applyAlignment="1">
      <alignment horizontal="right"/>
    </xf>
    <xf numFmtId="1" fontId="4" fillId="0" borderId="13" xfId="0" applyNumberFormat="1" applyFont="1" applyBorder="1" applyAlignment="1">
      <alignment horizontal="center"/>
    </xf>
    <xf numFmtId="3" fontId="4" fillId="0" borderId="13" xfId="0" applyNumberFormat="1" applyFont="1" applyBorder="1" applyAlignment="1">
      <alignment/>
    </xf>
    <xf numFmtId="0" fontId="25" fillId="0" borderId="13" xfId="0" applyFont="1"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164" fontId="4" fillId="0" borderId="0" xfId="0" applyNumberFormat="1" applyFont="1" applyFill="1" applyAlignment="1">
      <alignment horizontal="center"/>
    </xf>
    <xf numFmtId="1" fontId="4" fillId="0" borderId="24" xfId="0" applyNumberFormat="1" applyFont="1" applyBorder="1" applyAlignment="1">
      <alignment horizontal="center"/>
    </xf>
    <xf numFmtId="0" fontId="3" fillId="0" borderId="0" xfId="0" applyFont="1" applyAlignment="1">
      <alignment/>
    </xf>
    <xf numFmtId="1" fontId="4" fillId="0" borderId="0" xfId="0" applyNumberFormat="1" applyFont="1" applyBorder="1" applyAlignment="1">
      <alignment horizontal="center"/>
    </xf>
    <xf numFmtId="0" fontId="0" fillId="0" borderId="26" xfId="0" applyBorder="1" applyAlignment="1">
      <alignment/>
    </xf>
    <xf numFmtId="0" fontId="4" fillId="0" borderId="0" xfId="0" applyFont="1" applyBorder="1" applyAlignment="1">
      <alignment horizontal="center"/>
    </xf>
    <xf numFmtId="0" fontId="4" fillId="0" borderId="27" xfId="0" applyFont="1" applyBorder="1" applyAlignment="1">
      <alignment/>
    </xf>
    <xf numFmtId="0" fontId="0" fillId="0" borderId="28" xfId="0" applyBorder="1" applyAlignment="1">
      <alignment/>
    </xf>
    <xf numFmtId="0" fontId="4" fillId="0" borderId="28" xfId="0" applyFont="1" applyBorder="1" applyAlignment="1">
      <alignment/>
    </xf>
    <xf numFmtId="0" fontId="0" fillId="0" borderId="29" xfId="0" applyBorder="1" applyAlignment="1">
      <alignment/>
    </xf>
    <xf numFmtId="0" fontId="0" fillId="0" borderId="24" xfId="0" applyBorder="1" applyAlignment="1">
      <alignment horizontal="right"/>
    </xf>
    <xf numFmtId="0" fontId="6" fillId="0" borderId="0" xfId="0" applyFont="1" applyBorder="1" applyAlignment="1">
      <alignment horizontal="right" vertical="center"/>
    </xf>
    <xf numFmtId="0" fontId="6" fillId="0" borderId="0" xfId="0" applyFont="1" applyBorder="1" applyAlignment="1">
      <alignment vertical="center"/>
    </xf>
    <xf numFmtId="0" fontId="28" fillId="0" borderId="0" xfId="0" applyFont="1" applyBorder="1" applyAlignment="1">
      <alignment vertical="center"/>
    </xf>
    <xf numFmtId="0" fontId="0" fillId="0" borderId="0" xfId="0" applyFont="1" applyAlignment="1">
      <alignment/>
    </xf>
    <xf numFmtId="0" fontId="0" fillId="0" borderId="30" xfId="0" applyBorder="1" applyAlignment="1">
      <alignment/>
    </xf>
    <xf numFmtId="0" fontId="5" fillId="0" borderId="31" xfId="0" applyFont="1" applyBorder="1" applyAlignment="1">
      <alignment horizontal="right"/>
    </xf>
    <xf numFmtId="0" fontId="0" fillId="0" borderId="31" xfId="0" applyBorder="1" applyAlignment="1">
      <alignment/>
    </xf>
    <xf numFmtId="0" fontId="0" fillId="0" borderId="32" xfId="0" applyBorder="1" applyAlignment="1">
      <alignment horizontal="right"/>
    </xf>
    <xf numFmtId="1" fontId="4" fillId="0" borderId="33" xfId="0" applyNumberFormat="1" applyFont="1" applyBorder="1" applyAlignment="1">
      <alignment horizontal="center"/>
    </xf>
    <xf numFmtId="0" fontId="0" fillId="0" borderId="33" xfId="0" applyBorder="1" applyAlignment="1">
      <alignment/>
    </xf>
    <xf numFmtId="0" fontId="0" fillId="0" borderId="34" xfId="0" applyBorder="1" applyAlignment="1">
      <alignment/>
    </xf>
    <xf numFmtId="0" fontId="4" fillId="0" borderId="30" xfId="0" applyFont="1" applyBorder="1" applyAlignment="1">
      <alignment horizontal="right"/>
    </xf>
    <xf numFmtId="0" fontId="4" fillId="0" borderId="0" xfId="0" applyFont="1" applyBorder="1" applyAlignment="1">
      <alignment/>
    </xf>
    <xf numFmtId="0" fontId="0" fillId="0" borderId="32" xfId="0" applyBorder="1" applyAlignment="1">
      <alignment/>
    </xf>
    <xf numFmtId="0" fontId="31" fillId="0" borderId="0" xfId="0" applyFont="1" applyBorder="1" applyAlignment="1">
      <alignment horizontal="right"/>
    </xf>
    <xf numFmtId="0" fontId="0" fillId="0" borderId="0" xfId="0"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Fill="1" applyBorder="1" applyAlignment="1">
      <alignment horizontal="center"/>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center" wrapText="1"/>
      <protection locked="0"/>
    </xf>
    <xf numFmtId="0" fontId="16" fillId="0" borderId="0" xfId="0" applyFont="1" applyFill="1" applyBorder="1" applyAlignment="1" applyProtection="1">
      <alignment horizontal="center" wrapText="1"/>
      <protection locked="0"/>
    </xf>
    <xf numFmtId="0" fontId="16" fillId="0" borderId="0" xfId="0" applyFont="1" applyFill="1" applyBorder="1" applyAlignment="1" applyProtection="1">
      <alignment/>
      <protection/>
    </xf>
    <xf numFmtId="0" fontId="0" fillId="0" borderId="0" xfId="0" applyFill="1" applyAlignment="1">
      <alignment/>
    </xf>
    <xf numFmtId="0" fontId="0" fillId="0" borderId="0" xfId="0" applyFill="1" applyBorder="1" applyAlignment="1">
      <alignment horizontal="center"/>
    </xf>
    <xf numFmtId="0" fontId="0" fillId="0" borderId="0" xfId="0" applyFill="1" applyBorder="1" applyAlignment="1" applyProtection="1">
      <alignment horizontal="center" wrapText="1"/>
      <protection locked="0"/>
    </xf>
    <xf numFmtId="0" fontId="6" fillId="0" borderId="0" xfId="0" applyFont="1" applyFill="1" applyBorder="1" applyAlignment="1" applyProtection="1">
      <alignment horizontal="center" wrapText="1"/>
      <protection locked="0"/>
    </xf>
    <xf numFmtId="0" fontId="15"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locked="0"/>
    </xf>
    <xf numFmtId="0" fontId="0" fillId="35" borderId="0" xfId="0" applyFill="1" applyAlignment="1" applyProtection="1">
      <alignment/>
      <protection/>
    </xf>
    <xf numFmtId="0" fontId="0" fillId="35" borderId="0" xfId="0" applyFill="1" applyBorder="1" applyAlignment="1" applyProtection="1">
      <alignment/>
      <protection/>
    </xf>
    <xf numFmtId="0" fontId="15" fillId="35" borderId="0" xfId="0" applyFont="1" applyFill="1" applyBorder="1" applyAlignment="1" applyProtection="1">
      <alignment horizontal="center" wrapText="1"/>
      <protection/>
    </xf>
    <xf numFmtId="0" fontId="16" fillId="35" borderId="0" xfId="0" applyFont="1" applyFill="1" applyBorder="1" applyAlignment="1" applyProtection="1">
      <alignment horizontal="center"/>
      <protection/>
    </xf>
    <xf numFmtId="0" fontId="15" fillId="35" borderId="0" xfId="0" applyFont="1" applyFill="1" applyBorder="1" applyAlignment="1" applyProtection="1">
      <alignment horizontal="center"/>
      <protection/>
    </xf>
    <xf numFmtId="0" fontId="15" fillId="35" borderId="0" xfId="0" applyFont="1" applyFill="1" applyBorder="1" applyAlignment="1" applyProtection="1">
      <alignment/>
      <protection/>
    </xf>
    <xf numFmtId="0" fontId="15" fillId="35" borderId="0" xfId="0" applyFont="1" applyFill="1" applyBorder="1" applyAlignment="1" applyProtection="1">
      <alignment horizontal="center" vertical="center"/>
      <protection/>
    </xf>
    <xf numFmtId="0" fontId="0" fillId="0" borderId="0" xfId="0" applyFont="1" applyBorder="1" applyAlignment="1">
      <alignment horizontal="right" vertical="center"/>
    </xf>
    <xf numFmtId="0" fontId="0" fillId="0" borderId="0" xfId="0" applyBorder="1" applyAlignment="1">
      <alignment horizontal="right" vertical="center"/>
    </xf>
    <xf numFmtId="0" fontId="0" fillId="0" borderId="13" xfId="0" applyBorder="1" applyAlignment="1">
      <alignment horizontal="right" vertical="center"/>
    </xf>
    <xf numFmtId="0" fontId="0" fillId="0" borderId="0" xfId="0" applyAlignment="1">
      <alignment vertical="center"/>
    </xf>
    <xf numFmtId="0" fontId="4" fillId="33" borderId="15" xfId="0" applyFont="1" applyFill="1" applyBorder="1" applyAlignment="1">
      <alignment vertical="center"/>
    </xf>
    <xf numFmtId="0" fontId="0" fillId="33" borderId="16" xfId="0" applyFill="1" applyBorder="1" applyAlignment="1">
      <alignment vertical="center"/>
    </xf>
    <xf numFmtId="0" fontId="0" fillId="33" borderId="20" xfId="0" applyFill="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3" fillId="0" borderId="10" xfId="0" applyFont="1" applyBorder="1" applyAlignment="1">
      <alignment horizontal="center" vertical="center"/>
    </xf>
    <xf numFmtId="0" fontId="3" fillId="0" borderId="0" xfId="0" applyFont="1" applyBorder="1" applyAlignment="1">
      <alignment vertical="center"/>
    </xf>
    <xf numFmtId="0" fontId="23" fillId="0" borderId="0" xfId="0" applyFont="1" applyAlignment="1">
      <alignment horizontal="center" vertical="center"/>
    </xf>
    <xf numFmtId="0" fontId="0" fillId="0" borderId="0" xfId="0" applyFont="1" applyBorder="1" applyAlignment="1">
      <alignment vertical="center"/>
    </xf>
    <xf numFmtId="0" fontId="16" fillId="0" borderId="0" xfId="0" applyFont="1" applyBorder="1" applyAlignment="1">
      <alignment horizontal="right" vertical="center"/>
    </xf>
    <xf numFmtId="3" fontId="4" fillId="0" borderId="0" xfId="0" applyNumberFormat="1" applyFon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4" fillId="0" borderId="13" xfId="0" applyFont="1" applyBorder="1" applyAlignment="1">
      <alignment horizontal="right" vertical="center"/>
    </xf>
    <xf numFmtId="3" fontId="4" fillId="0" borderId="13" xfId="0" applyNumberFormat="1" applyFont="1" applyBorder="1" applyAlignment="1">
      <alignment horizontal="center" vertical="center"/>
    </xf>
    <xf numFmtId="0" fontId="6" fillId="0" borderId="13" xfId="0" applyFont="1" applyBorder="1" applyAlignment="1">
      <alignment vertical="center"/>
    </xf>
    <xf numFmtId="0" fontId="0" fillId="0" borderId="14" xfId="0" applyBorder="1" applyAlignment="1">
      <alignment vertical="center"/>
    </xf>
    <xf numFmtId="0" fontId="0" fillId="0" borderId="0" xfId="0" applyFont="1" applyAlignment="1">
      <alignment vertical="center"/>
    </xf>
    <xf numFmtId="0" fontId="6" fillId="0" borderId="10" xfId="0" applyFont="1" applyBorder="1" applyAlignment="1">
      <alignment vertical="center"/>
    </xf>
    <xf numFmtId="0" fontId="4" fillId="0" borderId="0" xfId="0" applyFont="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4" fillId="0" borderId="0" xfId="0" applyFont="1" applyAlignment="1">
      <alignment horizontal="right" vertical="center"/>
    </xf>
    <xf numFmtId="0" fontId="6" fillId="0" borderId="13" xfId="0" applyFont="1" applyBorder="1" applyAlignment="1">
      <alignment horizontal="right" vertical="center"/>
    </xf>
    <xf numFmtId="0" fontId="6" fillId="0" borderId="13" xfId="0" applyFont="1" applyFill="1" applyBorder="1" applyAlignment="1">
      <alignment horizontal="right" vertical="center"/>
    </xf>
    <xf numFmtId="164" fontId="6" fillId="0" borderId="13" xfId="0" applyNumberFormat="1" applyFont="1" applyFill="1" applyBorder="1" applyAlignment="1">
      <alignment horizontal="center" vertical="center"/>
    </xf>
    <xf numFmtId="0" fontId="6" fillId="0" borderId="13" xfId="0" applyFont="1" applyFill="1" applyBorder="1" applyAlignment="1">
      <alignment vertical="center"/>
    </xf>
    <xf numFmtId="0" fontId="5" fillId="0" borderId="13" xfId="0" applyFont="1" applyBorder="1" applyAlignment="1">
      <alignment horizontal="right" vertical="center"/>
    </xf>
    <xf numFmtId="0" fontId="5" fillId="0" borderId="0" xfId="0" applyFont="1" applyBorder="1" applyAlignment="1">
      <alignment horizontal="right" vertical="center"/>
    </xf>
    <xf numFmtId="0" fontId="4" fillId="0" borderId="10" xfId="0" applyFont="1" applyFill="1" applyBorder="1" applyAlignment="1">
      <alignment vertical="center"/>
    </xf>
    <xf numFmtId="0" fontId="0" fillId="0" borderId="0" xfId="0" applyFont="1" applyFill="1" applyBorder="1" applyAlignment="1">
      <alignment vertical="center"/>
    </xf>
    <xf numFmtId="0" fontId="0" fillId="0" borderId="11" xfId="0" applyFont="1" applyFill="1" applyBorder="1" applyAlignment="1">
      <alignment vertical="center"/>
    </xf>
    <xf numFmtId="0" fontId="0" fillId="0" borderId="0" xfId="0" applyFont="1" applyFill="1" applyBorder="1" applyAlignment="1">
      <alignment horizontal="right" vertical="center"/>
    </xf>
    <xf numFmtId="0" fontId="31" fillId="0" borderId="0" xfId="0" applyFont="1" applyBorder="1" applyAlignment="1">
      <alignment horizontal="right" vertical="center"/>
    </xf>
    <xf numFmtId="0" fontId="34" fillId="0" borderId="0" xfId="0" applyFont="1" applyAlignment="1">
      <alignment vertical="center"/>
    </xf>
    <xf numFmtId="0" fontId="25" fillId="0" borderId="0" xfId="0" applyFont="1" applyBorder="1" applyAlignment="1">
      <alignment horizontal="right" vertical="center"/>
    </xf>
    <xf numFmtId="0" fontId="11" fillId="36" borderId="15" xfId="0" applyFont="1" applyFill="1" applyBorder="1" applyAlignment="1">
      <alignment vertical="center"/>
    </xf>
    <xf numFmtId="0" fontId="11" fillId="36" borderId="16" xfId="0" applyFont="1" applyFill="1" applyBorder="1" applyAlignment="1">
      <alignment vertical="center"/>
    </xf>
    <xf numFmtId="0" fontId="30" fillId="36" borderId="16" xfId="0" applyFont="1" applyFill="1" applyBorder="1" applyAlignment="1">
      <alignment vertical="center"/>
    </xf>
    <xf numFmtId="0" fontId="30" fillId="36" borderId="20" xfId="0" applyFont="1" applyFill="1" applyBorder="1" applyAlignment="1">
      <alignment vertical="center"/>
    </xf>
    <xf numFmtId="0" fontId="4" fillId="0" borderId="17" xfId="0" applyFont="1" applyBorder="1" applyAlignment="1">
      <alignment horizontal="right" vertical="center"/>
    </xf>
    <xf numFmtId="2" fontId="4" fillId="0" borderId="18"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35" fillId="0" borderId="0" xfId="0" applyFont="1" applyBorder="1" applyAlignment="1">
      <alignment horizontal="right" vertical="center"/>
    </xf>
    <xf numFmtId="0" fontId="0" fillId="0" borderId="0" xfId="0" applyAlignment="1">
      <alignment/>
    </xf>
    <xf numFmtId="0" fontId="0" fillId="0" borderId="32" xfId="0" applyFont="1" applyBorder="1" applyAlignment="1">
      <alignment horizontal="right"/>
    </xf>
    <xf numFmtId="0" fontId="0" fillId="0" borderId="33" xfId="0" applyFont="1" applyBorder="1" applyAlignment="1">
      <alignment/>
    </xf>
    <xf numFmtId="2" fontId="4" fillId="0" borderId="33" xfId="0" applyNumberFormat="1" applyFont="1" applyBorder="1" applyAlignment="1">
      <alignment horizontal="center"/>
    </xf>
    <xf numFmtId="0" fontId="5" fillId="0" borderId="0" xfId="0" applyFont="1" applyBorder="1" applyAlignment="1">
      <alignment/>
    </xf>
    <xf numFmtId="0" fontId="5" fillId="0" borderId="0" xfId="0" applyFont="1" applyBorder="1" applyAlignment="1">
      <alignment horizontal="right"/>
    </xf>
    <xf numFmtId="0" fontId="38" fillId="0" borderId="0" xfId="0" applyFont="1" applyFill="1" applyBorder="1" applyAlignment="1">
      <alignment horizontal="center" vertical="center"/>
    </xf>
    <xf numFmtId="0" fontId="38" fillId="0" borderId="0" xfId="0" applyFont="1" applyFill="1" applyBorder="1" applyAlignment="1">
      <alignment horizontal="right" vertical="center"/>
    </xf>
    <xf numFmtId="0" fontId="38" fillId="0" borderId="0" xfId="0" applyFont="1" applyFill="1" applyBorder="1" applyAlignment="1">
      <alignment horizontal="left" vertical="center"/>
    </xf>
    <xf numFmtId="0" fontId="39" fillId="0" borderId="0" xfId="0" applyFont="1" applyFill="1" applyAlignment="1">
      <alignment/>
    </xf>
    <xf numFmtId="14" fontId="38" fillId="0" borderId="0" xfId="0" applyNumberFormat="1" applyFont="1" applyFill="1" applyBorder="1" applyAlignment="1">
      <alignment horizontal="center" vertical="center"/>
    </xf>
    <xf numFmtId="0" fontId="0" fillId="0" borderId="33" xfId="0" applyBorder="1" applyAlignment="1">
      <alignment horizontal="right"/>
    </xf>
    <xf numFmtId="0" fontId="3" fillId="0" borderId="30" xfId="0" applyFont="1" applyBorder="1" applyAlignment="1">
      <alignment/>
    </xf>
    <xf numFmtId="164" fontId="4" fillId="0" borderId="0" xfId="0" applyNumberFormat="1" applyFont="1" applyBorder="1" applyAlignment="1">
      <alignment/>
    </xf>
    <xf numFmtId="0" fontId="4" fillId="0" borderId="0" xfId="0" applyFont="1" applyBorder="1" applyAlignment="1">
      <alignment horizontal="left"/>
    </xf>
    <xf numFmtId="0" fontId="28" fillId="0" borderId="34" xfId="0" applyFont="1" applyBorder="1" applyAlignment="1">
      <alignment horizontal="right"/>
    </xf>
    <xf numFmtId="0" fontId="29" fillId="0" borderId="30" xfId="0" applyFont="1" applyFill="1" applyBorder="1" applyAlignment="1">
      <alignment horizontal="center"/>
    </xf>
    <xf numFmtId="0" fontId="29" fillId="0" borderId="0" xfId="0" applyFont="1" applyFill="1" applyBorder="1" applyAlignment="1">
      <alignment horizontal="center"/>
    </xf>
    <xf numFmtId="0" fontId="29" fillId="0" borderId="31" xfId="0" applyFont="1" applyFill="1" applyBorder="1" applyAlignment="1">
      <alignment horizontal="center"/>
    </xf>
    <xf numFmtId="0" fontId="9" fillId="0" borderId="0" xfId="0" applyFont="1" applyBorder="1" applyAlignment="1">
      <alignment vertical="top" wrapText="1"/>
    </xf>
    <xf numFmtId="0" fontId="0" fillId="0" borderId="31" xfId="0" applyFont="1" applyBorder="1" applyAlignment="1">
      <alignment/>
    </xf>
    <xf numFmtId="0" fontId="0" fillId="0" borderId="33" xfId="0" applyFont="1" applyBorder="1" applyAlignment="1">
      <alignment horizontal="right"/>
    </xf>
    <xf numFmtId="0" fontId="4" fillId="37" borderId="0" xfId="0" applyFont="1" applyFill="1" applyBorder="1" applyAlignment="1" applyProtection="1">
      <alignment horizontal="center" vertical="center"/>
      <protection locked="0"/>
    </xf>
    <xf numFmtId="2" fontId="4" fillId="37" borderId="0" xfId="0" applyNumberFormat="1" applyFont="1" applyFill="1" applyBorder="1" applyAlignment="1" applyProtection="1">
      <alignment horizontal="center" vertical="center"/>
      <protection locked="0"/>
    </xf>
    <xf numFmtId="0" fontId="4" fillId="37" borderId="13"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33" borderId="16" xfId="0" applyFill="1" applyBorder="1" applyAlignment="1" applyProtection="1">
      <alignment vertical="center"/>
      <protection locked="0"/>
    </xf>
    <xf numFmtId="0" fontId="4" fillId="0" borderId="0" xfId="0" applyFont="1" applyAlignment="1" applyProtection="1">
      <alignment vertical="center"/>
      <protection locked="0"/>
    </xf>
    <xf numFmtId="0" fontId="4" fillId="33" borderId="16" xfId="0" applyFont="1" applyFill="1" applyBorder="1" applyAlignment="1" applyProtection="1">
      <alignment vertical="center"/>
      <protection locked="0"/>
    </xf>
    <xf numFmtId="2" fontId="16" fillId="37" borderId="0" xfId="0" applyNumberFormat="1" applyFont="1" applyFill="1" applyBorder="1" applyAlignment="1" applyProtection="1">
      <alignment horizontal="center" vertical="center"/>
      <protection locked="0"/>
    </xf>
    <xf numFmtId="164" fontId="16" fillId="37" borderId="0" xfId="0" applyNumberFormat="1" applyFont="1" applyFill="1" applyBorder="1" applyAlignment="1" applyProtection="1">
      <alignment horizontal="center" vertical="center"/>
      <protection locked="0"/>
    </xf>
    <xf numFmtId="1" fontId="16" fillId="37" borderId="0" xfId="0" applyNumberFormat="1" applyFont="1" applyFill="1" applyBorder="1" applyAlignment="1" applyProtection="1">
      <alignment horizontal="center" vertical="center"/>
      <protection locked="0"/>
    </xf>
    <xf numFmtId="164" fontId="6" fillId="0" borderId="0" xfId="0" applyNumberFormat="1" applyFont="1" applyFill="1" applyBorder="1" applyAlignment="1" applyProtection="1">
      <alignment horizontal="center" vertical="center"/>
      <protection locked="0"/>
    </xf>
    <xf numFmtId="164" fontId="6" fillId="0" borderId="13" xfId="0" applyNumberFormat="1" applyFont="1" applyFill="1" applyBorder="1" applyAlignment="1" applyProtection="1">
      <alignment horizontal="center" vertical="center"/>
      <protection locked="0"/>
    </xf>
    <xf numFmtId="0" fontId="4" fillId="37" borderId="0" xfId="0" applyFont="1" applyFill="1" applyAlignment="1" applyProtection="1">
      <alignment horizontal="center" vertical="center"/>
      <protection locked="0"/>
    </xf>
    <xf numFmtId="9" fontId="16" fillId="37" borderId="0" xfId="0" applyNumberFormat="1" applyFont="1" applyFill="1" applyBorder="1" applyAlignment="1" applyProtection="1">
      <alignment horizontal="center" vertical="center"/>
      <protection locked="0"/>
    </xf>
    <xf numFmtId="0" fontId="16" fillId="37" borderId="0" xfId="0" applyNumberFormat="1" applyFont="1" applyFill="1" applyBorder="1" applyAlignment="1" applyProtection="1">
      <alignment horizontal="center" vertical="center"/>
      <protection locked="0"/>
    </xf>
    <xf numFmtId="0" fontId="4" fillId="37" borderId="0" xfId="0" applyFont="1" applyFill="1" applyAlignment="1" applyProtection="1">
      <alignment horizontal="center"/>
      <protection locked="0"/>
    </xf>
    <xf numFmtId="2" fontId="16" fillId="37" borderId="0" xfId="0" applyNumberFormat="1" applyFont="1" applyFill="1" applyBorder="1" applyAlignment="1" applyProtection="1">
      <alignment horizontal="center"/>
      <protection locked="0"/>
    </xf>
    <xf numFmtId="0" fontId="15" fillId="37" borderId="0" xfId="0" applyFont="1" applyFill="1" applyAlignment="1" applyProtection="1">
      <alignment horizontal="center"/>
      <protection locked="0"/>
    </xf>
    <xf numFmtId="164" fontId="4" fillId="37" borderId="0" xfId="0" applyNumberFormat="1" applyFont="1" applyFill="1" applyAlignment="1" applyProtection="1">
      <alignment horizontal="center"/>
      <protection locked="0"/>
    </xf>
    <xf numFmtId="2" fontId="4" fillId="37" borderId="0" xfId="0" applyNumberFormat="1" applyFont="1" applyFill="1" applyAlignment="1" applyProtection="1">
      <alignment horizontal="center"/>
      <protection locked="0"/>
    </xf>
    <xf numFmtId="2" fontId="16" fillId="37" borderId="33" xfId="0" applyNumberFormat="1" applyFont="1" applyFill="1" applyBorder="1" applyAlignment="1" applyProtection="1">
      <alignment horizontal="center"/>
      <protection locked="0"/>
    </xf>
    <xf numFmtId="1" fontId="4" fillId="37" borderId="0" xfId="0" applyNumberFormat="1" applyFont="1" applyFill="1" applyAlignment="1" applyProtection="1">
      <alignment horizontal="center"/>
      <protection locked="0"/>
    </xf>
    <xf numFmtId="1" fontId="16" fillId="37" borderId="0" xfId="0" applyNumberFormat="1" applyFont="1" applyFill="1" applyBorder="1" applyAlignment="1" applyProtection="1">
      <alignment horizontal="center"/>
      <protection locked="0"/>
    </xf>
    <xf numFmtId="164" fontId="16" fillId="37" borderId="0" xfId="0" applyNumberFormat="1" applyFont="1" applyFill="1" applyBorder="1" applyAlignment="1" applyProtection="1">
      <alignment horizontal="center"/>
      <protection locked="0"/>
    </xf>
    <xf numFmtId="164" fontId="16" fillId="37" borderId="0" xfId="0" applyNumberFormat="1" applyFont="1" applyFill="1" applyBorder="1" applyAlignment="1" applyProtection="1">
      <alignment horizontal="center" vertical="top"/>
      <protection locked="0"/>
    </xf>
    <xf numFmtId="0" fontId="9" fillId="0" borderId="0" xfId="0" applyFont="1" applyBorder="1" applyAlignment="1">
      <alignment horizontal="center" vertical="center" wrapText="1"/>
    </xf>
    <xf numFmtId="0" fontId="3" fillId="0" borderId="10" xfId="0" applyFont="1" applyFill="1" applyBorder="1" applyAlignment="1">
      <alignment vertical="center"/>
    </xf>
    <xf numFmtId="0" fontId="0" fillId="0" borderId="0" xfId="0" applyAlignment="1">
      <alignment vertical="center"/>
    </xf>
    <xf numFmtId="0" fontId="0" fillId="0" borderId="11" xfId="0" applyBorder="1" applyAlignment="1">
      <alignment vertical="center"/>
    </xf>
    <xf numFmtId="0" fontId="40" fillId="0" borderId="13" xfId="0" applyFont="1" applyBorder="1" applyAlignment="1">
      <alignment horizontal="center" vertical="center" wrapText="1"/>
    </xf>
    <xf numFmtId="0" fontId="40" fillId="0" borderId="13" xfId="0" applyFont="1" applyBorder="1" applyAlignment="1">
      <alignment horizontal="center" vertical="center"/>
    </xf>
    <xf numFmtId="0" fontId="11" fillId="38" borderId="15" xfId="0" applyFont="1" applyFill="1" applyBorder="1" applyAlignment="1">
      <alignment horizontal="left"/>
    </xf>
    <xf numFmtId="0" fontId="11" fillId="38" borderId="16" xfId="0" applyFont="1" applyFill="1" applyBorder="1" applyAlignment="1">
      <alignment horizontal="left"/>
    </xf>
    <xf numFmtId="0" fontId="11" fillId="38" borderId="20" xfId="0" applyFont="1" applyFill="1" applyBorder="1" applyAlignment="1">
      <alignment horizontal="left"/>
    </xf>
    <xf numFmtId="0" fontId="4" fillId="33" borderId="15" xfId="0" applyFont="1" applyFill="1" applyBorder="1" applyAlignment="1">
      <alignment horizontal="left"/>
    </xf>
    <xf numFmtId="0" fontId="4" fillId="33" borderId="16" xfId="0" applyFont="1" applyFill="1" applyBorder="1" applyAlignment="1">
      <alignment horizontal="left"/>
    </xf>
    <xf numFmtId="0" fontId="4" fillId="33" borderId="20" xfId="0" applyFont="1" applyFill="1" applyBorder="1" applyAlignment="1">
      <alignment horizontal="left"/>
    </xf>
    <xf numFmtId="0" fontId="9" fillId="0" borderId="0"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horizontal="left" vertical="top"/>
    </xf>
    <xf numFmtId="0" fontId="3" fillId="0" borderId="0" xfId="0" applyFont="1" applyAlignment="1">
      <alignment horizontal="left" vertical="center" wrapText="1"/>
    </xf>
    <xf numFmtId="0" fontId="36" fillId="0" borderId="0" xfId="0" applyFont="1" applyBorder="1" applyAlignment="1">
      <alignment horizontal="center" vertical="top" wrapText="1"/>
    </xf>
    <xf numFmtId="0" fontId="37" fillId="37" borderId="35" xfId="0" applyFont="1" applyFill="1" applyBorder="1" applyAlignment="1">
      <alignment horizontal="center"/>
    </xf>
    <xf numFmtId="0" fontId="37" fillId="37" borderId="36" xfId="0" applyFont="1" applyFill="1" applyBorder="1" applyAlignment="1">
      <alignment horizontal="center"/>
    </xf>
    <xf numFmtId="0" fontId="37" fillId="37" borderId="37" xfId="0" applyFont="1" applyFill="1" applyBorder="1" applyAlignment="1">
      <alignment horizontal="center"/>
    </xf>
    <xf numFmtId="0" fontId="37" fillId="39" borderId="35" xfId="0" applyFont="1" applyFill="1" applyBorder="1" applyAlignment="1">
      <alignment horizontal="center"/>
    </xf>
    <xf numFmtId="0" fontId="37" fillId="39" borderId="36" xfId="0" applyFont="1" applyFill="1" applyBorder="1" applyAlignment="1">
      <alignment horizontal="center"/>
    </xf>
    <xf numFmtId="0" fontId="37" fillId="39" borderId="37" xfId="0" applyFont="1" applyFill="1" applyBorder="1" applyAlignment="1">
      <alignment horizontal="center"/>
    </xf>
    <xf numFmtId="0" fontId="6" fillId="0" borderId="0" xfId="0" applyFont="1" applyBorder="1" applyAlignment="1">
      <alignment horizontal="right" wrapText="1"/>
    </xf>
    <xf numFmtId="0" fontId="29" fillId="0" borderId="35" xfId="0" applyFont="1" applyBorder="1" applyAlignment="1">
      <alignment horizontal="center"/>
    </xf>
    <xf numFmtId="0" fontId="29" fillId="0" borderId="36" xfId="0" applyFont="1" applyBorder="1" applyAlignment="1">
      <alignment horizontal="center"/>
    </xf>
    <xf numFmtId="0" fontId="29" fillId="0" borderId="37" xfId="0" applyFont="1" applyBorder="1" applyAlignment="1">
      <alignment horizontal="center"/>
    </xf>
    <xf numFmtId="0" fontId="0" fillId="0" borderId="0" xfId="0" applyAlignment="1">
      <alignment wrapText="1"/>
    </xf>
    <xf numFmtId="0" fontId="15" fillId="34" borderId="0" xfId="0" applyFont="1" applyFill="1" applyBorder="1" applyAlignment="1" applyProtection="1">
      <alignment horizontal="center" wrapText="1"/>
      <protection/>
    </xf>
    <xf numFmtId="0" fontId="0" fillId="34" borderId="0" xfId="0" applyFill="1" applyBorder="1" applyAlignment="1">
      <alignment horizontal="center" wrapText="1"/>
    </xf>
    <xf numFmtId="0" fontId="16" fillId="34" borderId="0" xfId="0" applyFont="1" applyFill="1" applyBorder="1" applyAlignment="1" applyProtection="1">
      <alignment horizontal="center"/>
      <protection/>
    </xf>
    <xf numFmtId="0" fontId="6" fillId="34" borderId="0" xfId="0" applyFont="1" applyFill="1" applyBorder="1" applyAlignment="1">
      <alignment horizontal="center"/>
    </xf>
    <xf numFmtId="0" fontId="0" fillId="34" borderId="0" xfId="0" applyFont="1" applyFill="1" applyBorder="1" applyAlignment="1" applyProtection="1">
      <alignment horizontal="center" wrapText="1"/>
      <protection locked="0"/>
    </xf>
    <xf numFmtId="0" fontId="0" fillId="34" borderId="0" xfId="0" applyFill="1" applyBorder="1" applyAlignment="1" applyProtection="1">
      <alignment horizontal="center" wrapText="1"/>
      <protection locked="0"/>
    </xf>
    <xf numFmtId="0" fontId="15" fillId="34" borderId="0" xfId="0" applyFont="1" applyFill="1" applyBorder="1" applyAlignment="1" applyProtection="1">
      <alignment horizontal="center"/>
      <protection/>
    </xf>
    <xf numFmtId="0" fontId="0" fillId="34" borderId="0" xfId="0"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5.wmf" /></Relationships>
</file>

<file path=xl/drawings/_rels/drawing3.xml.rels><?xml version="1.0" encoding="utf-8" standalone="yes"?><Relationships xmlns="http://schemas.openxmlformats.org/package/2006/relationships"><Relationship Id="rId1" Type="http://schemas.openxmlformats.org/officeDocument/2006/relationships/image" Target="../media/image16.wmf" /></Relationships>
</file>

<file path=xl/drawings/_rels/drawing4.xml.rels><?xml version="1.0" encoding="utf-8" standalone="yes"?><Relationships xmlns="http://schemas.openxmlformats.org/package/2006/relationships"><Relationship Id="rId1" Type="http://schemas.openxmlformats.org/officeDocument/2006/relationships/image" Target="../media/image17.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8.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0.emf" /><Relationship Id="rId3" Type="http://schemas.openxmlformats.org/officeDocument/2006/relationships/image" Target="../media/image1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180975</xdr:colOff>
      <xdr:row>31</xdr:row>
      <xdr:rowOff>95250</xdr:rowOff>
    </xdr:from>
    <xdr:to>
      <xdr:col>20</xdr:col>
      <xdr:colOff>180975</xdr:colOff>
      <xdr:row>34</xdr:row>
      <xdr:rowOff>9525</xdr:rowOff>
    </xdr:to>
    <xdr:sp>
      <xdr:nvSpPr>
        <xdr:cNvPr id="1" name="Line 2"/>
        <xdr:cNvSpPr>
          <a:spLocks/>
        </xdr:cNvSpPr>
      </xdr:nvSpPr>
      <xdr:spPr>
        <a:xfrm flipV="1">
          <a:off x="13849350" y="6172200"/>
          <a:ext cx="0" cy="428625"/>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7</xdr:row>
      <xdr:rowOff>28575</xdr:rowOff>
    </xdr:from>
    <xdr:to>
      <xdr:col>11</xdr:col>
      <xdr:colOff>285750</xdr:colOff>
      <xdr:row>9</xdr:row>
      <xdr:rowOff>123825</xdr:rowOff>
    </xdr:to>
    <xdr:sp>
      <xdr:nvSpPr>
        <xdr:cNvPr id="2" name="Line 3"/>
        <xdr:cNvSpPr>
          <a:spLocks/>
        </xdr:cNvSpPr>
      </xdr:nvSpPr>
      <xdr:spPr>
        <a:xfrm flipV="1">
          <a:off x="8362950" y="1762125"/>
          <a:ext cx="0" cy="4572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16</xdr:row>
      <xdr:rowOff>28575</xdr:rowOff>
    </xdr:from>
    <xdr:to>
      <xdr:col>11</xdr:col>
      <xdr:colOff>285750</xdr:colOff>
      <xdr:row>18</xdr:row>
      <xdr:rowOff>123825</xdr:rowOff>
    </xdr:to>
    <xdr:sp>
      <xdr:nvSpPr>
        <xdr:cNvPr id="3" name="Line 5"/>
        <xdr:cNvSpPr>
          <a:spLocks/>
        </xdr:cNvSpPr>
      </xdr:nvSpPr>
      <xdr:spPr>
        <a:xfrm flipV="1">
          <a:off x="8362950" y="3419475"/>
          <a:ext cx="0" cy="4572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333375</xdr:colOff>
      <xdr:row>33</xdr:row>
      <xdr:rowOff>123825</xdr:rowOff>
    </xdr:from>
    <xdr:to>
      <xdr:col>11</xdr:col>
      <xdr:colOff>333375</xdr:colOff>
      <xdr:row>35</xdr:row>
      <xdr:rowOff>104775</xdr:rowOff>
    </xdr:to>
    <xdr:sp>
      <xdr:nvSpPr>
        <xdr:cNvPr id="4" name="Line 10"/>
        <xdr:cNvSpPr>
          <a:spLocks/>
        </xdr:cNvSpPr>
      </xdr:nvSpPr>
      <xdr:spPr>
        <a:xfrm>
          <a:off x="8410575" y="6543675"/>
          <a:ext cx="0" cy="314325"/>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25</xdr:row>
      <xdr:rowOff>28575</xdr:rowOff>
    </xdr:from>
    <xdr:to>
      <xdr:col>11</xdr:col>
      <xdr:colOff>285750</xdr:colOff>
      <xdr:row>27</xdr:row>
      <xdr:rowOff>123825</xdr:rowOff>
    </xdr:to>
    <xdr:sp>
      <xdr:nvSpPr>
        <xdr:cNvPr id="5" name="Line 12"/>
        <xdr:cNvSpPr>
          <a:spLocks/>
        </xdr:cNvSpPr>
      </xdr:nvSpPr>
      <xdr:spPr>
        <a:xfrm flipV="1">
          <a:off x="8362950" y="5076825"/>
          <a:ext cx="0" cy="4572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171450</xdr:colOff>
      <xdr:row>61</xdr:row>
      <xdr:rowOff>38100</xdr:rowOff>
    </xdr:from>
    <xdr:to>
      <xdr:col>10</xdr:col>
      <xdr:colOff>628650</xdr:colOff>
      <xdr:row>80</xdr:row>
      <xdr:rowOff>38100</xdr:rowOff>
    </xdr:to>
    <xdr:pic>
      <xdr:nvPicPr>
        <xdr:cNvPr id="6" name="Picture 25" descr="ELJ1"/>
        <xdr:cNvPicPr preferRelativeResize="1">
          <a:picLocks noChangeAspect="1"/>
        </xdr:cNvPicPr>
      </xdr:nvPicPr>
      <xdr:blipFill>
        <a:blip r:embed="rId1"/>
        <a:srcRect b="22554"/>
        <a:stretch>
          <a:fillRect/>
        </a:stretch>
      </xdr:blipFill>
      <xdr:spPr>
        <a:xfrm>
          <a:off x="838200" y="11630025"/>
          <a:ext cx="7153275" cy="3086100"/>
        </a:xfrm>
        <a:prstGeom prst="rect">
          <a:avLst/>
        </a:prstGeom>
        <a:noFill/>
        <a:ln w="9525" cmpd="sng">
          <a:noFill/>
        </a:ln>
      </xdr:spPr>
    </xdr:pic>
    <xdr:clientData/>
  </xdr:twoCellAnchor>
  <xdr:twoCellAnchor>
    <xdr:from>
      <xdr:col>11</xdr:col>
      <xdr:colOff>323850</xdr:colOff>
      <xdr:row>50</xdr:row>
      <xdr:rowOff>180975</xdr:rowOff>
    </xdr:from>
    <xdr:to>
      <xdr:col>11</xdr:col>
      <xdr:colOff>323850</xdr:colOff>
      <xdr:row>52</xdr:row>
      <xdr:rowOff>161925</xdr:rowOff>
    </xdr:to>
    <xdr:sp>
      <xdr:nvSpPr>
        <xdr:cNvPr id="7" name="Line 10"/>
        <xdr:cNvSpPr>
          <a:spLocks/>
        </xdr:cNvSpPr>
      </xdr:nvSpPr>
      <xdr:spPr>
        <a:xfrm>
          <a:off x="8401050" y="9839325"/>
          <a:ext cx="0" cy="381000"/>
        </a:xfrm>
        <a:prstGeom prst="line">
          <a:avLst/>
        </a:prstGeom>
        <a:noFill/>
        <a:ln w="254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0</xdr:row>
      <xdr:rowOff>0</xdr:rowOff>
    </xdr:from>
    <xdr:to>
      <xdr:col>9</xdr:col>
      <xdr:colOff>276225</xdr:colOff>
      <xdr:row>0</xdr:row>
      <xdr:rowOff>0</xdr:rowOff>
    </xdr:to>
    <xdr:sp>
      <xdr:nvSpPr>
        <xdr:cNvPr id="1" name="Line 6"/>
        <xdr:cNvSpPr>
          <a:spLocks/>
        </xdr:cNvSpPr>
      </xdr:nvSpPr>
      <xdr:spPr>
        <a:xfrm flipV="1">
          <a:off x="5791200" y="0"/>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0</xdr:row>
      <xdr:rowOff>0</xdr:rowOff>
    </xdr:from>
    <xdr:to>
      <xdr:col>9</xdr:col>
      <xdr:colOff>276225</xdr:colOff>
      <xdr:row>0</xdr:row>
      <xdr:rowOff>0</xdr:rowOff>
    </xdr:to>
    <xdr:sp>
      <xdr:nvSpPr>
        <xdr:cNvPr id="2" name="Line 7"/>
        <xdr:cNvSpPr>
          <a:spLocks/>
        </xdr:cNvSpPr>
      </xdr:nvSpPr>
      <xdr:spPr>
        <a:xfrm>
          <a:off x="5791200" y="0"/>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16</xdr:row>
      <xdr:rowOff>0</xdr:rowOff>
    </xdr:from>
    <xdr:to>
      <xdr:col>9</xdr:col>
      <xdr:colOff>276225</xdr:colOff>
      <xdr:row>16</xdr:row>
      <xdr:rowOff>0</xdr:rowOff>
    </xdr:to>
    <xdr:sp>
      <xdr:nvSpPr>
        <xdr:cNvPr id="3" name="Line 19"/>
        <xdr:cNvSpPr>
          <a:spLocks/>
        </xdr:cNvSpPr>
      </xdr:nvSpPr>
      <xdr:spPr>
        <a:xfrm flipV="1">
          <a:off x="5791200" y="3571875"/>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16</xdr:row>
      <xdr:rowOff>0</xdr:rowOff>
    </xdr:from>
    <xdr:to>
      <xdr:col>9</xdr:col>
      <xdr:colOff>276225</xdr:colOff>
      <xdr:row>16</xdr:row>
      <xdr:rowOff>0</xdr:rowOff>
    </xdr:to>
    <xdr:sp>
      <xdr:nvSpPr>
        <xdr:cNvPr id="4" name="Line 20"/>
        <xdr:cNvSpPr>
          <a:spLocks/>
        </xdr:cNvSpPr>
      </xdr:nvSpPr>
      <xdr:spPr>
        <a:xfrm>
          <a:off x="5791200" y="3571875"/>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419100</xdr:colOff>
      <xdr:row>21</xdr:row>
      <xdr:rowOff>57150</xdr:rowOff>
    </xdr:from>
    <xdr:to>
      <xdr:col>9</xdr:col>
      <xdr:colOff>314325</xdr:colOff>
      <xdr:row>21</xdr:row>
      <xdr:rowOff>57150</xdr:rowOff>
    </xdr:to>
    <xdr:sp>
      <xdr:nvSpPr>
        <xdr:cNvPr id="5" name="Line 21"/>
        <xdr:cNvSpPr>
          <a:spLocks/>
        </xdr:cNvSpPr>
      </xdr:nvSpPr>
      <xdr:spPr>
        <a:xfrm>
          <a:off x="4876800" y="4448175"/>
          <a:ext cx="95250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276225</xdr:colOff>
      <xdr:row>23</xdr:row>
      <xdr:rowOff>0</xdr:rowOff>
    </xdr:from>
    <xdr:to>
      <xdr:col>9</xdr:col>
      <xdr:colOff>276225</xdr:colOff>
      <xdr:row>23</xdr:row>
      <xdr:rowOff>0</xdr:rowOff>
    </xdr:to>
    <xdr:sp>
      <xdr:nvSpPr>
        <xdr:cNvPr id="6" name="Line 23"/>
        <xdr:cNvSpPr>
          <a:spLocks/>
        </xdr:cNvSpPr>
      </xdr:nvSpPr>
      <xdr:spPr>
        <a:xfrm flipV="1">
          <a:off x="5791200" y="4772025"/>
          <a:ext cx="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457200</xdr:colOff>
      <xdr:row>26</xdr:row>
      <xdr:rowOff>76200</xdr:rowOff>
    </xdr:from>
    <xdr:to>
      <xdr:col>9</xdr:col>
      <xdr:colOff>333375</xdr:colOff>
      <xdr:row>26</xdr:row>
      <xdr:rowOff>76200</xdr:rowOff>
    </xdr:to>
    <xdr:sp>
      <xdr:nvSpPr>
        <xdr:cNvPr id="7" name="Line 24"/>
        <xdr:cNvSpPr>
          <a:spLocks/>
        </xdr:cNvSpPr>
      </xdr:nvSpPr>
      <xdr:spPr>
        <a:xfrm flipH="1" flipV="1">
          <a:off x="4914900" y="5334000"/>
          <a:ext cx="933450"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10</xdr:row>
      <xdr:rowOff>9525</xdr:rowOff>
    </xdr:from>
    <xdr:to>
      <xdr:col>9</xdr:col>
      <xdr:colOff>723900</xdr:colOff>
      <xdr:row>31</xdr:row>
      <xdr:rowOff>0</xdr:rowOff>
    </xdr:to>
    <xdr:pic>
      <xdr:nvPicPr>
        <xdr:cNvPr id="1" name="Picture 9"/>
        <xdr:cNvPicPr preferRelativeResize="1">
          <a:picLocks noChangeAspect="1"/>
        </xdr:cNvPicPr>
      </xdr:nvPicPr>
      <xdr:blipFill>
        <a:blip r:embed="rId1"/>
        <a:stretch>
          <a:fillRect/>
        </a:stretch>
      </xdr:blipFill>
      <xdr:spPr>
        <a:xfrm>
          <a:off x="828675" y="2590800"/>
          <a:ext cx="5267325" cy="3390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13</xdr:row>
      <xdr:rowOff>76200</xdr:rowOff>
    </xdr:from>
    <xdr:to>
      <xdr:col>8</xdr:col>
      <xdr:colOff>428625</xdr:colOff>
      <xdr:row>13</xdr:row>
      <xdr:rowOff>76200</xdr:rowOff>
    </xdr:to>
    <xdr:sp>
      <xdr:nvSpPr>
        <xdr:cNvPr id="1" name="Line 2"/>
        <xdr:cNvSpPr>
          <a:spLocks/>
        </xdr:cNvSpPr>
      </xdr:nvSpPr>
      <xdr:spPr>
        <a:xfrm>
          <a:off x="5695950" y="2895600"/>
          <a:ext cx="428625" cy="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95250</xdr:colOff>
      <xdr:row>24</xdr:row>
      <xdr:rowOff>0</xdr:rowOff>
    </xdr:from>
    <xdr:to>
      <xdr:col>8</xdr:col>
      <xdr:colOff>342900</xdr:colOff>
      <xdr:row>45</xdr:row>
      <xdr:rowOff>104775</xdr:rowOff>
    </xdr:to>
    <xdr:pic>
      <xdr:nvPicPr>
        <xdr:cNvPr id="2" name="Picture 4"/>
        <xdr:cNvPicPr preferRelativeResize="1">
          <a:picLocks noChangeAspect="1"/>
        </xdr:cNvPicPr>
      </xdr:nvPicPr>
      <xdr:blipFill>
        <a:blip r:embed="rId1"/>
        <a:stretch>
          <a:fillRect/>
        </a:stretch>
      </xdr:blipFill>
      <xdr:spPr>
        <a:xfrm>
          <a:off x="95250" y="4667250"/>
          <a:ext cx="5943600" cy="3505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oleObject" Target="../embeddings/oleObject_0_3.bin" /><Relationship Id="rId5" Type="http://schemas.openxmlformats.org/officeDocument/2006/relationships/oleObject" Target="../embeddings/oleObject_0_4.bin"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vmlDrawing" Target="../drawings/vmlDrawing4.vml" /><Relationship Id="rId5" Type="http://schemas.openxmlformats.org/officeDocument/2006/relationships/drawing" Target="../drawings/drawing3.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vmlDrawing" Target="../drawings/vmlDrawing5.vml" /><Relationship Id="rId4" Type="http://schemas.openxmlformats.org/officeDocument/2006/relationships/drawing" Target="../drawings/drawing4.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tabColor indexed="39"/>
    <pageSetUpPr fitToPage="1"/>
  </sheetPr>
  <dimension ref="A1:N62"/>
  <sheetViews>
    <sheetView tabSelected="1" zoomScale="90" zoomScaleNormal="90" zoomScalePageLayoutView="0" workbookViewId="0" topLeftCell="A1">
      <selection activeCell="E7" sqref="E7"/>
    </sheetView>
  </sheetViews>
  <sheetFormatPr defaultColWidth="9.140625" defaultRowHeight="12.75"/>
  <cols>
    <col min="1" max="1" width="10.00390625" style="132" customWidth="1"/>
    <col min="2" max="2" width="27.140625" style="132" bestFit="1" customWidth="1"/>
    <col min="3" max="3" width="7.8515625" style="132" customWidth="1"/>
    <col min="4" max="4" width="9.140625" style="132" customWidth="1"/>
    <col min="5" max="5" width="10.140625" style="132" customWidth="1"/>
    <col min="6" max="6" width="3.28125" style="132" customWidth="1"/>
    <col min="7" max="12" width="10.7109375" style="132" customWidth="1"/>
    <col min="13" max="16384" width="9.140625" style="132" customWidth="1"/>
  </cols>
  <sheetData>
    <row r="1" spans="1:12" ht="36.75" customHeight="1">
      <c r="A1" s="225" t="s">
        <v>323</v>
      </c>
      <c r="B1" s="225"/>
      <c r="C1" s="225"/>
      <c r="D1" s="225"/>
      <c r="E1" s="225"/>
      <c r="F1" s="225"/>
      <c r="G1" s="225"/>
      <c r="H1" s="225"/>
      <c r="I1" s="225"/>
      <c r="J1" s="225"/>
      <c r="K1" s="225"/>
      <c r="L1" s="225"/>
    </row>
    <row r="2" spans="1:12" ht="24" customHeight="1" thickBot="1">
      <c r="A2" s="229" t="s">
        <v>324</v>
      </c>
      <c r="B2" s="230"/>
      <c r="C2" s="230"/>
      <c r="D2" s="230"/>
      <c r="E2" s="230"/>
      <c r="F2" s="230"/>
      <c r="G2" s="230"/>
      <c r="H2" s="230"/>
      <c r="I2" s="230"/>
      <c r="J2" s="230"/>
      <c r="K2" s="230"/>
      <c r="L2" s="230"/>
    </row>
    <row r="3" spans="1:12" ht="12.75">
      <c r="A3" s="133" t="s">
        <v>22</v>
      </c>
      <c r="B3" s="134"/>
      <c r="C3" s="134"/>
      <c r="D3" s="134"/>
      <c r="E3" s="134"/>
      <c r="F3" s="134"/>
      <c r="G3" s="134"/>
      <c r="H3" s="134"/>
      <c r="I3" s="134"/>
      <c r="J3" s="134"/>
      <c r="K3" s="134"/>
      <c r="L3" s="135"/>
    </row>
    <row r="4" spans="1:12" ht="15.75">
      <c r="A4" s="136"/>
      <c r="B4" s="130" t="s">
        <v>1</v>
      </c>
      <c r="C4" s="130" t="s">
        <v>27</v>
      </c>
      <c r="D4" s="200">
        <v>1</v>
      </c>
      <c r="E4" s="137"/>
      <c r="F4" s="137"/>
      <c r="G4" s="137"/>
      <c r="H4" s="137"/>
      <c r="I4" s="137"/>
      <c r="K4" s="137"/>
      <c r="L4" s="138"/>
    </row>
    <row r="5" spans="1:13" ht="15.75">
      <c r="A5" s="139"/>
      <c r="B5" s="130" t="s">
        <v>12</v>
      </c>
      <c r="C5" s="130" t="s">
        <v>13</v>
      </c>
      <c r="D5" s="201">
        <f>VLOOKUP(M5,'Wood Prop'!A4:L84,12,0)</f>
        <v>0.35</v>
      </c>
      <c r="E5" s="140" t="s">
        <v>186</v>
      </c>
      <c r="F5" s="137"/>
      <c r="G5" s="137"/>
      <c r="H5" s="137"/>
      <c r="I5" s="137"/>
      <c r="J5" s="137"/>
      <c r="K5" s="137"/>
      <c r="L5" s="138"/>
      <c r="M5" s="141">
        <v>50</v>
      </c>
    </row>
    <row r="6" spans="1:12" ht="15.75">
      <c r="A6" s="136"/>
      <c r="B6" s="129" t="s">
        <v>280</v>
      </c>
      <c r="C6" s="130" t="s">
        <v>0</v>
      </c>
      <c r="D6" s="200">
        <v>2</v>
      </c>
      <c r="E6" s="137" t="s">
        <v>2</v>
      </c>
      <c r="F6" s="137"/>
      <c r="G6" s="137"/>
      <c r="H6" s="143" t="s">
        <v>187</v>
      </c>
      <c r="I6" s="144">
        <f>+(D9^2*D10+D6^2*D7*(1-D8))*0.7854</f>
        <v>772.20528</v>
      </c>
      <c r="J6" s="140" t="s">
        <v>188</v>
      </c>
      <c r="L6" s="138"/>
    </row>
    <row r="7" spans="1:12" ht="15.75">
      <c r="A7" s="136"/>
      <c r="B7" s="130" t="s">
        <v>3</v>
      </c>
      <c r="C7" s="130" t="s">
        <v>4</v>
      </c>
      <c r="D7" s="200">
        <f>D6/2</f>
        <v>1</v>
      </c>
      <c r="E7" s="137" t="s">
        <v>2</v>
      </c>
      <c r="F7" s="137"/>
      <c r="G7" s="137"/>
      <c r="H7" s="137"/>
      <c r="I7" s="137"/>
      <c r="J7" s="137"/>
      <c r="K7" s="137"/>
      <c r="L7" s="138"/>
    </row>
    <row r="8" spans="1:12" ht="12.75">
      <c r="A8" s="136"/>
      <c r="B8" s="130" t="s">
        <v>9</v>
      </c>
      <c r="C8" s="130" t="s">
        <v>10</v>
      </c>
      <c r="D8" s="200">
        <v>0.2</v>
      </c>
      <c r="E8" s="137" t="s">
        <v>11</v>
      </c>
      <c r="F8" s="137"/>
      <c r="G8" s="137"/>
      <c r="H8" s="137"/>
      <c r="I8" s="137"/>
      <c r="J8" s="137"/>
      <c r="K8" s="137"/>
      <c r="L8" s="138"/>
    </row>
    <row r="9" spans="1:12" ht="15.75">
      <c r="A9" s="136"/>
      <c r="B9" s="130" t="s">
        <v>6</v>
      </c>
      <c r="C9" s="130" t="s">
        <v>7</v>
      </c>
      <c r="D9" s="200">
        <v>7</v>
      </c>
      <c r="E9" s="137" t="s">
        <v>2</v>
      </c>
      <c r="F9" s="137"/>
      <c r="G9" s="137"/>
      <c r="H9" s="137"/>
      <c r="I9" s="137"/>
      <c r="J9" s="137"/>
      <c r="K9" s="137"/>
      <c r="L9" s="138"/>
    </row>
    <row r="10" spans="1:14" ht="16.5" thickBot="1">
      <c r="A10" s="145"/>
      <c r="B10" s="131" t="s">
        <v>5</v>
      </c>
      <c r="C10" s="131" t="s">
        <v>8</v>
      </c>
      <c r="D10" s="202">
        <v>20</v>
      </c>
      <c r="E10" s="146" t="s">
        <v>2</v>
      </c>
      <c r="F10" s="146"/>
      <c r="G10" s="146"/>
      <c r="H10" s="147" t="s">
        <v>25</v>
      </c>
      <c r="I10" s="148">
        <f>+(D9^2*D10+D6^2*D7*(1-D8))*49*(1-D5)*D4</f>
        <v>31314.920000000002</v>
      </c>
      <c r="J10" s="149" t="s">
        <v>14</v>
      </c>
      <c r="K10" s="146"/>
      <c r="L10" s="150"/>
      <c r="N10" s="151"/>
    </row>
    <row r="11" ht="9.75" customHeight="1" thickBot="1">
      <c r="D11" s="203"/>
    </row>
    <row r="12" spans="1:12" ht="12.75">
      <c r="A12" s="133" t="s">
        <v>23</v>
      </c>
      <c r="B12" s="134"/>
      <c r="C12" s="134"/>
      <c r="D12" s="204"/>
      <c r="E12" s="134"/>
      <c r="F12" s="134"/>
      <c r="G12" s="134"/>
      <c r="H12" s="134"/>
      <c r="I12" s="134"/>
      <c r="J12" s="134"/>
      <c r="K12" s="134"/>
      <c r="L12" s="135"/>
    </row>
    <row r="13" spans="1:12" ht="15.75">
      <c r="A13" s="136"/>
      <c r="B13" s="130" t="s">
        <v>1</v>
      </c>
      <c r="C13" s="130" t="s">
        <v>27</v>
      </c>
      <c r="D13" s="200">
        <v>2</v>
      </c>
      <c r="E13" s="137"/>
      <c r="F13" s="137"/>
      <c r="G13" s="137"/>
      <c r="H13" s="137"/>
      <c r="I13" s="137"/>
      <c r="J13" s="137"/>
      <c r="K13" s="137"/>
      <c r="L13" s="138"/>
    </row>
    <row r="14" spans="1:13" ht="15.75">
      <c r="A14" s="136"/>
      <c r="B14" s="130" t="s">
        <v>12</v>
      </c>
      <c r="C14" s="130" t="s">
        <v>13</v>
      </c>
      <c r="D14" s="201">
        <f>VLOOKUP(M14,'Wood Prop'!A4:L84,12,0)</f>
        <v>0.35</v>
      </c>
      <c r="E14" s="137"/>
      <c r="F14" s="137"/>
      <c r="G14" s="137"/>
      <c r="H14" s="137"/>
      <c r="I14" s="137"/>
      <c r="J14" s="137"/>
      <c r="K14" s="137"/>
      <c r="L14" s="138"/>
      <c r="M14" s="141">
        <v>50</v>
      </c>
    </row>
    <row r="15" spans="1:12" ht="15.75">
      <c r="A15" s="136"/>
      <c r="B15" s="129" t="s">
        <v>280</v>
      </c>
      <c r="C15" s="130" t="s">
        <v>0</v>
      </c>
      <c r="D15" s="200">
        <v>5</v>
      </c>
      <c r="E15" s="137" t="s">
        <v>2</v>
      </c>
      <c r="F15" s="137"/>
      <c r="G15" s="137"/>
      <c r="H15" s="143" t="s">
        <v>187</v>
      </c>
      <c r="I15" s="144">
        <f>+(D18^2*D19+D15^2*D16*(1-D17))*0.7854</f>
        <v>63.81375</v>
      </c>
      <c r="J15" s="140" t="s">
        <v>188</v>
      </c>
      <c r="K15" s="137"/>
      <c r="L15" s="138"/>
    </row>
    <row r="16" spans="1:12" ht="15.75">
      <c r="A16" s="136"/>
      <c r="B16" s="130" t="s">
        <v>3</v>
      </c>
      <c r="C16" s="130" t="s">
        <v>4</v>
      </c>
      <c r="D16" s="200">
        <f>D15/2</f>
        <v>2.5</v>
      </c>
      <c r="E16" s="137" t="s">
        <v>2</v>
      </c>
      <c r="F16" s="137"/>
      <c r="G16" s="137"/>
      <c r="H16" s="137"/>
      <c r="I16" s="137"/>
      <c r="J16" s="137"/>
      <c r="K16" s="137"/>
      <c r="L16" s="138"/>
    </row>
    <row r="17" spans="1:12" ht="12.75">
      <c r="A17" s="136"/>
      <c r="B17" s="130" t="s">
        <v>9</v>
      </c>
      <c r="C17" s="130" t="s">
        <v>10</v>
      </c>
      <c r="D17" s="200">
        <f>D8</f>
        <v>0.2</v>
      </c>
      <c r="E17" s="137" t="s">
        <v>11</v>
      </c>
      <c r="F17" s="137"/>
      <c r="G17" s="137"/>
      <c r="H17" s="137"/>
      <c r="I17" s="137"/>
      <c r="J17" s="137"/>
      <c r="K17" s="137"/>
      <c r="L17" s="138"/>
    </row>
    <row r="18" spans="1:14" ht="15.75">
      <c r="A18" s="136"/>
      <c r="B18" s="130" t="s">
        <v>6</v>
      </c>
      <c r="C18" s="130" t="s">
        <v>7</v>
      </c>
      <c r="D18" s="200">
        <v>1.25</v>
      </c>
      <c r="E18" s="137" t="s">
        <v>2</v>
      </c>
      <c r="F18" s="137"/>
      <c r="G18" s="137"/>
      <c r="H18" s="137"/>
      <c r="I18" s="137"/>
      <c r="J18" s="137"/>
      <c r="K18" s="137"/>
      <c r="L18" s="138"/>
      <c r="N18" s="151"/>
    </row>
    <row r="19" spans="1:14" ht="16.5" thickBot="1">
      <c r="A19" s="145"/>
      <c r="B19" s="131" t="s">
        <v>5</v>
      </c>
      <c r="C19" s="131" t="s">
        <v>8</v>
      </c>
      <c r="D19" s="202">
        <f>D10</f>
        <v>20</v>
      </c>
      <c r="E19" s="146" t="s">
        <v>2</v>
      </c>
      <c r="F19" s="146"/>
      <c r="G19" s="146"/>
      <c r="H19" s="147" t="s">
        <v>25</v>
      </c>
      <c r="I19" s="148">
        <f>+(D18^2*D19+D15^2*D16*(1-D17))*49*(1-D14)*D13</f>
        <v>5175.625</v>
      </c>
      <c r="J19" s="146" t="s">
        <v>14</v>
      </c>
      <c r="K19" s="146"/>
      <c r="L19" s="150"/>
      <c r="N19" s="151"/>
    </row>
    <row r="20" ht="9.75" customHeight="1" thickBot="1">
      <c r="D20" s="203"/>
    </row>
    <row r="21" spans="1:12" ht="12.75">
      <c r="A21" s="133" t="s">
        <v>21</v>
      </c>
      <c r="B21" s="134"/>
      <c r="C21" s="134"/>
      <c r="D21" s="204"/>
      <c r="E21" s="134"/>
      <c r="F21" s="134"/>
      <c r="G21" s="134"/>
      <c r="H21" s="134"/>
      <c r="I21" s="134"/>
      <c r="J21" s="134"/>
      <c r="K21" s="134"/>
      <c r="L21" s="135"/>
    </row>
    <row r="22" spans="1:12" ht="15.75">
      <c r="A22" s="136"/>
      <c r="B22" s="130" t="s">
        <v>1</v>
      </c>
      <c r="C22" s="130" t="s">
        <v>27</v>
      </c>
      <c r="D22" s="200">
        <v>5</v>
      </c>
      <c r="E22" s="137"/>
      <c r="F22" s="137"/>
      <c r="G22" s="137"/>
      <c r="H22" s="137"/>
      <c r="I22" s="137"/>
      <c r="J22" s="137"/>
      <c r="K22" s="137"/>
      <c r="L22" s="138"/>
    </row>
    <row r="23" spans="1:13" ht="15.75">
      <c r="A23" s="136"/>
      <c r="B23" s="130" t="s">
        <v>12</v>
      </c>
      <c r="C23" s="130" t="s">
        <v>13</v>
      </c>
      <c r="D23" s="201">
        <f>VLOOKUP(M23,'Wood Prop'!A4:L84,12,0)</f>
        <v>0.35</v>
      </c>
      <c r="E23" s="137"/>
      <c r="F23" s="137"/>
      <c r="G23" s="137"/>
      <c r="H23" s="137"/>
      <c r="I23" s="137"/>
      <c r="J23" s="137"/>
      <c r="K23" s="137"/>
      <c r="L23" s="138"/>
      <c r="M23" s="141">
        <v>50</v>
      </c>
    </row>
    <row r="24" spans="1:12" ht="15.75">
      <c r="A24" s="136"/>
      <c r="B24" s="129" t="s">
        <v>280</v>
      </c>
      <c r="C24" s="130" t="s">
        <v>0</v>
      </c>
      <c r="D24" s="200">
        <v>4</v>
      </c>
      <c r="E24" s="137" t="s">
        <v>2</v>
      </c>
      <c r="F24" s="137"/>
      <c r="G24" s="137"/>
      <c r="H24" s="143" t="s">
        <v>187</v>
      </c>
      <c r="I24" s="144">
        <f>+(D27^2*D28+D24^2*D25*(1-D26))*0.7854</f>
        <v>31.887240000000002</v>
      </c>
      <c r="J24" s="140" t="s">
        <v>188</v>
      </c>
      <c r="L24" s="138"/>
    </row>
    <row r="25" spans="1:12" ht="15.75">
      <c r="A25" s="136"/>
      <c r="B25" s="130" t="s">
        <v>3</v>
      </c>
      <c r="C25" s="130" t="s">
        <v>4</v>
      </c>
      <c r="D25" s="200">
        <f>D24/2</f>
        <v>2</v>
      </c>
      <c r="E25" s="137" t="s">
        <v>2</v>
      </c>
      <c r="F25" s="137"/>
      <c r="G25" s="137"/>
      <c r="H25" s="137"/>
      <c r="I25" s="137"/>
      <c r="J25" s="137"/>
      <c r="K25" s="137"/>
      <c r="L25" s="138"/>
    </row>
    <row r="26" spans="1:12" ht="12.75">
      <c r="A26" s="136"/>
      <c r="B26" s="130" t="s">
        <v>9</v>
      </c>
      <c r="C26" s="130" t="s">
        <v>10</v>
      </c>
      <c r="D26" s="200">
        <f>D8</f>
        <v>0.2</v>
      </c>
      <c r="E26" s="137" t="s">
        <v>11</v>
      </c>
      <c r="F26" s="137"/>
      <c r="G26" s="137"/>
      <c r="H26" s="137"/>
      <c r="I26" s="137"/>
      <c r="J26" s="137"/>
      <c r="K26" s="137"/>
      <c r="L26" s="138"/>
    </row>
    <row r="27" spans="1:12" ht="15.75">
      <c r="A27" s="136"/>
      <c r="B27" s="130" t="s">
        <v>6</v>
      </c>
      <c r="C27" s="130" t="s">
        <v>7</v>
      </c>
      <c r="D27" s="200">
        <v>1</v>
      </c>
      <c r="E27" s="137" t="s">
        <v>2</v>
      </c>
      <c r="F27" s="137"/>
      <c r="G27" s="137"/>
      <c r="H27" s="137"/>
      <c r="I27" s="137"/>
      <c r="J27" s="137"/>
      <c r="K27" s="137"/>
      <c r="L27" s="138"/>
    </row>
    <row r="28" spans="1:12" ht="16.5" thickBot="1">
      <c r="A28" s="145"/>
      <c r="B28" s="131" t="s">
        <v>5</v>
      </c>
      <c r="C28" s="131" t="s">
        <v>8</v>
      </c>
      <c r="D28" s="202">
        <v>15</v>
      </c>
      <c r="E28" s="146" t="s">
        <v>2</v>
      </c>
      <c r="F28" s="146"/>
      <c r="G28" s="146"/>
      <c r="H28" s="147" t="s">
        <v>25</v>
      </c>
      <c r="I28" s="148">
        <f>+(D27^2*D28+D24^2*D25*(1-D26))*49*(1-D23)*D22</f>
        <v>6465.550000000001</v>
      </c>
      <c r="J28" s="146" t="s">
        <v>14</v>
      </c>
      <c r="K28" s="146"/>
      <c r="L28" s="150"/>
    </row>
    <row r="29" ht="9.75" customHeight="1" thickBot="1">
      <c r="D29" s="205"/>
    </row>
    <row r="30" spans="1:12" ht="12.75">
      <c r="A30" s="133" t="s">
        <v>20</v>
      </c>
      <c r="B30" s="134"/>
      <c r="C30" s="134"/>
      <c r="D30" s="206"/>
      <c r="E30" s="134"/>
      <c r="F30" s="134"/>
      <c r="G30" s="134"/>
      <c r="H30" s="134"/>
      <c r="I30" s="134"/>
      <c r="J30" s="134"/>
      <c r="K30" s="134"/>
      <c r="L30" s="135"/>
    </row>
    <row r="31" spans="1:12" ht="13.5">
      <c r="A31" s="152"/>
      <c r="B31" s="94" t="s">
        <v>16</v>
      </c>
      <c r="C31" s="94" t="s">
        <v>17</v>
      </c>
      <c r="D31" s="207">
        <v>2.65</v>
      </c>
      <c r="E31" s="95"/>
      <c r="F31" s="137"/>
      <c r="G31" s="137"/>
      <c r="H31" s="137"/>
      <c r="I31" s="137"/>
      <c r="J31" s="137"/>
      <c r="K31" s="137"/>
      <c r="L31" s="138"/>
    </row>
    <row r="32" spans="1:12" ht="13.5">
      <c r="A32" s="152"/>
      <c r="B32" s="94" t="s">
        <v>190</v>
      </c>
      <c r="C32" s="94" t="s">
        <v>18</v>
      </c>
      <c r="D32" s="208">
        <v>3.5</v>
      </c>
      <c r="E32" s="95" t="s">
        <v>2</v>
      </c>
      <c r="F32" s="137"/>
      <c r="G32" s="137"/>
      <c r="H32" s="137"/>
      <c r="I32" s="137"/>
      <c r="J32" s="137"/>
      <c r="K32" s="137"/>
      <c r="L32" s="138"/>
    </row>
    <row r="33" spans="1:12" ht="13.5">
      <c r="A33" s="152"/>
      <c r="B33" s="94" t="s">
        <v>198</v>
      </c>
      <c r="C33" s="94" t="s">
        <v>19</v>
      </c>
      <c r="D33" s="209">
        <v>8</v>
      </c>
      <c r="E33" s="137"/>
      <c r="F33" s="137"/>
      <c r="G33" s="137"/>
      <c r="H33" s="137"/>
      <c r="I33" s="137"/>
      <c r="J33" s="137"/>
      <c r="K33" s="137"/>
      <c r="L33" s="138"/>
    </row>
    <row r="34" spans="1:12" ht="13.5">
      <c r="A34" s="152"/>
      <c r="B34" s="94" t="s">
        <v>199</v>
      </c>
      <c r="C34" s="94" t="s">
        <v>200</v>
      </c>
      <c r="D34" s="209">
        <v>0</v>
      </c>
      <c r="E34" s="95"/>
      <c r="F34" s="137"/>
      <c r="G34" s="153" t="s">
        <v>15</v>
      </c>
      <c r="H34" s="144">
        <f>(D32^3)*(PI()/6)*(1.94*32.174)*(D31-1)</f>
        <v>2312.0301169347604</v>
      </c>
      <c r="I34" s="140" t="s">
        <v>201</v>
      </c>
      <c r="J34" s="137"/>
      <c r="K34" s="137"/>
      <c r="L34" s="138"/>
    </row>
    <row r="35" spans="1:12" ht="12.75">
      <c r="A35" s="136"/>
      <c r="B35" s="94"/>
      <c r="C35" s="154"/>
      <c r="D35" s="210"/>
      <c r="E35" s="155"/>
      <c r="F35" s="137"/>
      <c r="G35" s="156" t="s">
        <v>202</v>
      </c>
      <c r="H35" s="144">
        <f>(D32^3)*(PI()/6)*(1.94*32.174)*D31</f>
        <v>3713.260490834615</v>
      </c>
      <c r="I35" s="140" t="s">
        <v>204</v>
      </c>
      <c r="J35" s="137"/>
      <c r="K35" s="137"/>
      <c r="L35" s="138"/>
    </row>
    <row r="36" spans="1:12" ht="13.5" thickBot="1">
      <c r="A36" s="145"/>
      <c r="B36" s="157"/>
      <c r="C36" s="158"/>
      <c r="D36" s="211"/>
      <c r="E36" s="160"/>
      <c r="F36" s="146"/>
      <c r="G36" s="161" t="s">
        <v>203</v>
      </c>
      <c r="H36" s="148">
        <f>+(H34*D33)+(H35*D34)</f>
        <v>18496.240935478083</v>
      </c>
      <c r="I36" s="146" t="s">
        <v>14</v>
      </c>
      <c r="J36" s="146"/>
      <c r="K36" s="146"/>
      <c r="L36" s="150"/>
    </row>
    <row r="37" spans="1:12" ht="13.5" thickBot="1">
      <c r="A37" s="137"/>
      <c r="B37" s="94"/>
      <c r="C37" s="154"/>
      <c r="D37" s="210"/>
      <c r="E37" s="155"/>
      <c r="F37" s="137"/>
      <c r="G37" s="162"/>
      <c r="H37" s="144"/>
      <c r="I37" s="137"/>
      <c r="J37" s="137"/>
      <c r="K37" s="137"/>
      <c r="L37" s="137"/>
    </row>
    <row r="38" spans="1:12" ht="12.75">
      <c r="A38" s="133" t="s">
        <v>279</v>
      </c>
      <c r="B38" s="134"/>
      <c r="C38" s="134"/>
      <c r="D38" s="206"/>
      <c r="E38" s="134"/>
      <c r="F38" s="134"/>
      <c r="G38" s="134"/>
      <c r="H38" s="134"/>
      <c r="I38" s="134"/>
      <c r="J38" s="134"/>
      <c r="K38" s="134"/>
      <c r="L38" s="135"/>
    </row>
    <row r="39" spans="1:12" ht="15.75" customHeight="1">
      <c r="A39" s="163"/>
      <c r="B39" s="94" t="s">
        <v>309</v>
      </c>
      <c r="C39" s="177" t="s">
        <v>330</v>
      </c>
      <c r="D39" s="207">
        <v>2.65</v>
      </c>
      <c r="E39" s="164"/>
      <c r="F39" s="164"/>
      <c r="G39" s="164"/>
      <c r="H39" s="164"/>
      <c r="I39" s="164"/>
      <c r="J39" s="164"/>
      <c r="K39" s="164"/>
      <c r="L39" s="165"/>
    </row>
    <row r="40" spans="1:12" ht="15.75" customHeight="1">
      <c r="A40" s="163"/>
      <c r="B40" s="166" t="s">
        <v>303</v>
      </c>
      <c r="C40" s="108" t="s">
        <v>319</v>
      </c>
      <c r="D40" s="200">
        <v>90</v>
      </c>
      <c r="E40" s="109" t="s">
        <v>282</v>
      </c>
      <c r="F40" s="164"/>
      <c r="G40" s="164"/>
      <c r="H40" s="164"/>
      <c r="I40" s="164"/>
      <c r="J40" s="164"/>
      <c r="K40" s="164"/>
      <c r="L40" s="165"/>
    </row>
    <row r="41" spans="1:12" ht="15.75" customHeight="1">
      <c r="A41" s="163"/>
      <c r="B41" s="166" t="s">
        <v>304</v>
      </c>
      <c r="C41" s="108" t="s">
        <v>320</v>
      </c>
      <c r="D41" s="212">
        <v>115</v>
      </c>
      <c r="E41" s="109" t="s">
        <v>282</v>
      </c>
      <c r="F41" s="164"/>
      <c r="G41" s="164"/>
      <c r="H41" s="164"/>
      <c r="I41" s="164"/>
      <c r="J41" s="164"/>
      <c r="K41" s="164"/>
      <c r="L41" s="165"/>
    </row>
    <row r="42" spans="1:13" ht="15.75" customHeight="1">
      <c r="A42" s="163"/>
      <c r="B42" s="94"/>
      <c r="C42" s="129" t="s">
        <v>298</v>
      </c>
      <c r="D42" s="213">
        <f>VLOOKUP($M$42,'Wood Prop'!A97:E103,3)/100</f>
        <v>0.9</v>
      </c>
      <c r="E42" s="109" t="s">
        <v>307</v>
      </c>
      <c r="F42" s="164"/>
      <c r="G42" s="164"/>
      <c r="H42" s="164"/>
      <c r="I42" s="164"/>
      <c r="J42" s="164"/>
      <c r="K42" s="164"/>
      <c r="L42" s="165"/>
      <c r="M42" s="168">
        <v>6</v>
      </c>
    </row>
    <row r="43" spans="1:13" ht="15.75" customHeight="1">
      <c r="A43" s="163"/>
      <c r="B43" s="94" t="s">
        <v>281</v>
      </c>
      <c r="C43" s="167" t="s">
        <v>315</v>
      </c>
      <c r="D43" s="214">
        <f>ROUNDDOWN(($D$40*$D$41)/($D$41-($D$42*$D$41)+($D$42*$D$40)),0)</f>
        <v>111</v>
      </c>
      <c r="E43" s="109" t="s">
        <v>282</v>
      </c>
      <c r="F43" s="164"/>
      <c r="G43" s="164"/>
      <c r="H43" s="164"/>
      <c r="I43" s="164"/>
      <c r="J43" s="164"/>
      <c r="K43" s="164"/>
      <c r="L43" s="165"/>
      <c r="M43" s="168"/>
    </row>
    <row r="44" spans="1:13" ht="15.75" customHeight="1">
      <c r="A44" s="163"/>
      <c r="B44" s="94" t="s">
        <v>300</v>
      </c>
      <c r="C44" s="129" t="s">
        <v>299</v>
      </c>
      <c r="D44" s="207">
        <f>((D39*62.4)/D43)-1</f>
        <v>0.4897297297297296</v>
      </c>
      <c r="E44" s="109"/>
      <c r="F44" s="164"/>
      <c r="G44" s="164"/>
      <c r="H44" s="164"/>
      <c r="I44" s="164"/>
      <c r="J44" s="164"/>
      <c r="K44" s="164"/>
      <c r="L44" s="165"/>
      <c r="M44" s="168"/>
    </row>
    <row r="45" spans="1:13" ht="15.75" customHeight="1">
      <c r="A45" s="163"/>
      <c r="B45" s="94" t="s">
        <v>301</v>
      </c>
      <c r="C45" s="129" t="s">
        <v>302</v>
      </c>
      <c r="D45" s="207">
        <f>D44/(1+D44)</f>
        <v>0.3287373004354136</v>
      </c>
      <c r="E45" s="109"/>
      <c r="F45" s="164"/>
      <c r="G45" s="164"/>
      <c r="H45" s="164"/>
      <c r="I45" s="164"/>
      <c r="J45" s="164"/>
      <c r="K45" s="164"/>
      <c r="L45" s="165"/>
      <c r="M45" s="168"/>
    </row>
    <row r="46" spans="1:13" ht="15.75" customHeight="1">
      <c r="A46" s="163"/>
      <c r="B46" s="94" t="s">
        <v>321</v>
      </c>
      <c r="C46" s="129" t="s">
        <v>308</v>
      </c>
      <c r="D46" s="213">
        <v>1</v>
      </c>
      <c r="E46" s="109"/>
      <c r="F46" s="164"/>
      <c r="G46" s="164"/>
      <c r="H46" s="164"/>
      <c r="I46" s="164"/>
      <c r="J46" s="164"/>
      <c r="K46" s="164"/>
      <c r="L46" s="165"/>
      <c r="M46" s="168"/>
    </row>
    <row r="47" spans="1:13" ht="15.75" customHeight="1">
      <c r="A47" s="163"/>
      <c r="B47" s="94" t="s">
        <v>311</v>
      </c>
      <c r="C47" s="169" t="s">
        <v>310</v>
      </c>
      <c r="D47" s="207">
        <f>(D44*D46*100)/D39</f>
        <v>18.480367159612438</v>
      </c>
      <c r="E47" s="109" t="s">
        <v>282</v>
      </c>
      <c r="F47" s="164"/>
      <c r="G47" s="164"/>
      <c r="H47" s="164"/>
      <c r="I47" s="164"/>
      <c r="J47" s="164"/>
      <c r="K47" s="164"/>
      <c r="L47" s="165"/>
      <c r="M47" s="168"/>
    </row>
    <row r="48" spans="1:12" ht="15.75" customHeight="1">
      <c r="A48" s="163"/>
      <c r="B48" s="166" t="s">
        <v>283</v>
      </c>
      <c r="C48" s="108" t="s">
        <v>314</v>
      </c>
      <c r="D48" s="207">
        <f>D43+D47</f>
        <v>129.48036715961243</v>
      </c>
      <c r="E48" s="109" t="s">
        <v>282</v>
      </c>
      <c r="F48" s="164"/>
      <c r="G48" s="164"/>
      <c r="H48" s="164"/>
      <c r="I48" s="164"/>
      <c r="J48" s="164"/>
      <c r="K48" s="164"/>
      <c r="L48" s="165"/>
    </row>
    <row r="49" spans="1:12" ht="15.75" customHeight="1">
      <c r="A49" s="163"/>
      <c r="B49" s="166" t="s">
        <v>284</v>
      </c>
      <c r="C49" s="108" t="s">
        <v>287</v>
      </c>
      <c r="D49" s="207">
        <f>D48-62.4</f>
        <v>67.08036715961242</v>
      </c>
      <c r="E49" s="109" t="s">
        <v>282</v>
      </c>
      <c r="F49" s="164"/>
      <c r="G49" s="164"/>
      <c r="H49" s="164"/>
      <c r="I49" s="164"/>
      <c r="J49" s="164"/>
      <c r="K49" s="164"/>
      <c r="L49" s="165"/>
    </row>
    <row r="50" spans="1:12" ht="15.75" customHeight="1">
      <c r="A50" s="152"/>
      <c r="B50" s="94" t="s">
        <v>286</v>
      </c>
      <c r="C50" s="94" t="s">
        <v>318</v>
      </c>
      <c r="D50" s="214">
        <f>5*10</f>
        <v>50</v>
      </c>
      <c r="E50" s="110" t="s">
        <v>285</v>
      </c>
      <c r="F50" s="137"/>
      <c r="G50" s="137"/>
      <c r="H50" s="137"/>
      <c r="I50" s="137"/>
      <c r="J50" s="137"/>
      <c r="K50" s="137"/>
      <c r="L50" s="138"/>
    </row>
    <row r="51" spans="1:12" ht="15.75" customHeight="1">
      <c r="A51" s="152"/>
      <c r="B51" s="94" t="s">
        <v>329</v>
      </c>
      <c r="C51" s="94" t="s">
        <v>316</v>
      </c>
      <c r="D51" s="214">
        <v>2</v>
      </c>
      <c r="E51" s="110" t="s">
        <v>2</v>
      </c>
      <c r="F51" s="137"/>
      <c r="G51" s="153" t="s">
        <v>15</v>
      </c>
      <c r="H51" s="144">
        <f>D50*D49</f>
        <v>3354.018357980621</v>
      </c>
      <c r="I51" s="140" t="str">
        <f>CONCATENATE("(pounds effective weight per ",D50," cubic feet of Soil Ballast")</f>
        <v>(pounds effective weight per 50 cubic feet of Soil Ballast</v>
      </c>
      <c r="J51" s="137"/>
      <c r="K51" s="137"/>
      <c r="L51" s="138"/>
    </row>
    <row r="52" spans="1:12" ht="15.75" customHeight="1">
      <c r="A52" s="152"/>
      <c r="B52" s="94" t="s">
        <v>313</v>
      </c>
      <c r="C52" s="94" t="s">
        <v>317</v>
      </c>
      <c r="D52" s="214">
        <v>0</v>
      </c>
      <c r="E52" s="110" t="s">
        <v>2</v>
      </c>
      <c r="F52" s="137"/>
      <c r="G52" s="156" t="s">
        <v>202</v>
      </c>
      <c r="H52" s="144">
        <f>D50*D43</f>
        <v>5550</v>
      </c>
      <c r="I52" s="140" t="str">
        <f>CONCATENATE("(pounds) weight per ",D50," cubic feet of Soil Ballast")</f>
        <v>(pounds) weight per 50 cubic feet of Soil Ballast</v>
      </c>
      <c r="J52" s="137"/>
      <c r="K52" s="137"/>
      <c r="L52" s="138"/>
    </row>
    <row r="53" spans="1:12" ht="15.75" customHeight="1" thickBot="1">
      <c r="A53" s="145"/>
      <c r="B53" s="157"/>
      <c r="C53" s="158"/>
      <c r="D53" s="159"/>
      <c r="E53" s="160"/>
      <c r="F53" s="146"/>
      <c r="G53" s="161" t="s">
        <v>312</v>
      </c>
      <c r="H53" s="148">
        <f>(H52*D52)+(H51*D51)</f>
        <v>6708.036715961242</v>
      </c>
      <c r="I53" s="146" t="s">
        <v>14</v>
      </c>
      <c r="J53" s="146"/>
      <c r="K53" s="146"/>
      <c r="L53" s="150"/>
    </row>
    <row r="54" spans="1:12" ht="9.75" customHeight="1" thickBot="1">
      <c r="A54" s="137"/>
      <c r="B54" s="137"/>
      <c r="C54" s="137"/>
      <c r="D54" s="137"/>
      <c r="E54" s="137"/>
      <c r="F54" s="137"/>
      <c r="G54" s="137"/>
      <c r="H54" s="137"/>
      <c r="I54" s="137"/>
      <c r="J54" s="137"/>
      <c r="K54" s="137"/>
      <c r="L54" s="137"/>
    </row>
    <row r="55" spans="1:12" ht="12.75">
      <c r="A55" s="170" t="s">
        <v>26</v>
      </c>
      <c r="B55" s="171"/>
      <c r="C55" s="171"/>
      <c r="D55" s="171"/>
      <c r="E55" s="171"/>
      <c r="F55" s="171"/>
      <c r="G55" s="171"/>
      <c r="H55" s="171"/>
      <c r="I55" s="171"/>
      <c r="J55" s="171"/>
      <c r="K55" s="172"/>
      <c r="L55" s="173"/>
    </row>
    <row r="56" spans="1:12" ht="12.75">
      <c r="A56" s="226" t="s">
        <v>28</v>
      </c>
      <c r="B56" s="227"/>
      <c r="C56" s="227"/>
      <c r="D56" s="227"/>
      <c r="E56" s="227"/>
      <c r="F56" s="227"/>
      <c r="G56" s="227"/>
      <c r="H56" s="227"/>
      <c r="I56" s="227"/>
      <c r="J56" s="227"/>
      <c r="K56" s="227"/>
      <c r="L56" s="228"/>
    </row>
    <row r="57" spans="1:12" ht="12.75">
      <c r="A57" s="226" t="s">
        <v>29</v>
      </c>
      <c r="B57" s="227"/>
      <c r="C57" s="227"/>
      <c r="D57" s="227"/>
      <c r="E57" s="227"/>
      <c r="F57" s="227"/>
      <c r="G57" s="227"/>
      <c r="H57" s="227"/>
      <c r="I57" s="227"/>
      <c r="J57" s="227"/>
      <c r="K57" s="227"/>
      <c r="L57" s="228"/>
    </row>
    <row r="58" spans="1:12" ht="12.75">
      <c r="A58" s="226" t="s">
        <v>189</v>
      </c>
      <c r="B58" s="227"/>
      <c r="C58" s="227"/>
      <c r="D58" s="227"/>
      <c r="E58" s="227"/>
      <c r="F58" s="227"/>
      <c r="G58" s="227"/>
      <c r="H58" s="227"/>
      <c r="I58" s="227"/>
      <c r="J58" s="227"/>
      <c r="K58" s="227"/>
      <c r="L58" s="228"/>
    </row>
    <row r="59" spans="1:12" ht="13.5" thickBot="1">
      <c r="A59" s="136"/>
      <c r="B59" s="137"/>
      <c r="E59" s="142"/>
      <c r="F59" s="142"/>
      <c r="G59" s="137"/>
      <c r="H59" s="137"/>
      <c r="I59" s="137"/>
      <c r="J59" s="137"/>
      <c r="K59" s="137"/>
      <c r="L59" s="138"/>
    </row>
    <row r="60" spans="1:12" ht="17.25" thickBot="1" thickTop="1">
      <c r="A60" s="136"/>
      <c r="B60" s="137"/>
      <c r="C60" s="174" t="s">
        <v>24</v>
      </c>
      <c r="D60" s="175">
        <f>(H36+H53)/(I10+I19+I28)</f>
        <v>0.5867450859171283</v>
      </c>
      <c r="E60" s="142"/>
      <c r="F60" s="142"/>
      <c r="G60" s="137"/>
      <c r="H60" s="137"/>
      <c r="I60" s="137"/>
      <c r="J60" s="137"/>
      <c r="K60" s="137"/>
      <c r="L60" s="138"/>
    </row>
    <row r="61" spans="1:12" ht="13.5" thickTop="1">
      <c r="A61" s="136"/>
      <c r="B61" s="137"/>
      <c r="C61" s="137"/>
      <c r="D61" s="137"/>
      <c r="E61" s="153"/>
      <c r="F61" s="176"/>
      <c r="G61" s="137"/>
      <c r="H61" s="137"/>
      <c r="I61" s="137"/>
      <c r="J61" s="137"/>
      <c r="K61" s="137"/>
      <c r="L61" s="138"/>
    </row>
    <row r="62" spans="1:12" ht="13.5" thickBot="1">
      <c r="A62" s="145"/>
      <c r="B62" s="146"/>
      <c r="C62" s="146"/>
      <c r="D62" s="146"/>
      <c r="E62" s="146"/>
      <c r="F62" s="146"/>
      <c r="G62" s="146"/>
      <c r="H62" s="146"/>
      <c r="I62" s="146"/>
      <c r="J62" s="146"/>
      <c r="K62" s="146"/>
      <c r="L62" s="150"/>
    </row>
    <row r="63" ht="12.75"/>
    <row r="64" ht="12.75"/>
    <row r="65" ht="12.75"/>
    <row r="66" ht="12.75"/>
    <row r="67" ht="12.75"/>
    <row r="68" ht="12.75"/>
    <row r="69" ht="12.75"/>
    <row r="70" ht="12.75"/>
    <row r="71" ht="12.75"/>
    <row r="72" ht="12.75"/>
    <row r="73" ht="12.75"/>
    <row r="74" ht="12.75"/>
    <row r="75" ht="12.75"/>
    <row r="76" ht="12.75"/>
    <row r="77" ht="12.75"/>
    <row r="78" ht="12.75"/>
    <row r="79" ht="12.75"/>
    <row r="80" ht="12.75"/>
  </sheetData>
  <sheetProtection password="C974" sheet="1" objects="1" scenarios="1"/>
  <mergeCells count="5">
    <mergeCell ref="A1:L1"/>
    <mergeCell ref="A56:L56"/>
    <mergeCell ref="A57:L57"/>
    <mergeCell ref="A58:L58"/>
    <mergeCell ref="A2:L2"/>
  </mergeCells>
  <printOptions verticalCentered="1"/>
  <pageMargins left="0.5" right="0.25" top="0.5" bottom="0.5" header="0.5" footer="0.5"/>
  <pageSetup fitToHeight="1" fitToWidth="1" horizontalDpi="600" verticalDpi="600" orientation="portrait" scale="63" r:id="rId8"/>
  <drawing r:id="rId7"/>
  <legacyDrawing r:id="rId6"/>
  <oleObjects>
    <oleObject progId="Equation.3" shapeId="303132" r:id="rId1"/>
    <oleObject progId="Equation.3" shapeId="303131" r:id="rId2"/>
    <oleObject progId="Equation.3" shapeId="303130" r:id="rId3"/>
    <oleObject progId="Equation.3" shapeId="303129" r:id="rId4"/>
    <oleObject progId="Equation.3" shapeId="303128" r:id="rId5"/>
  </oleObjects>
</worksheet>
</file>

<file path=xl/worksheets/sheet2.xml><?xml version="1.0" encoding="utf-8"?>
<worksheet xmlns="http://schemas.openxmlformats.org/spreadsheetml/2006/main" xmlns:r="http://schemas.openxmlformats.org/officeDocument/2006/relationships">
  <sheetPr>
    <tabColor indexed="39"/>
    <pageSetUpPr fitToPage="1"/>
  </sheetPr>
  <dimension ref="A1:R34"/>
  <sheetViews>
    <sheetView zoomScalePageLayoutView="0" workbookViewId="0" topLeftCell="A1">
      <selection activeCell="F7" sqref="F7"/>
    </sheetView>
  </sheetViews>
  <sheetFormatPr defaultColWidth="9.140625" defaultRowHeight="12.75"/>
  <cols>
    <col min="2" max="2" width="7.421875" style="0" customWidth="1"/>
    <col min="3" max="3" width="9.421875" style="0" customWidth="1"/>
    <col min="4" max="4" width="8.421875" style="0" customWidth="1"/>
    <col min="7" max="7" width="6.7109375" style="0" customWidth="1"/>
    <col min="8" max="8" width="7.421875" style="0" customWidth="1"/>
    <col min="9" max="9" width="15.8515625" style="0" customWidth="1"/>
    <col min="10" max="10" width="6.7109375" style="0" customWidth="1"/>
    <col min="16" max="16" width="21.28125" style="0" customWidth="1"/>
    <col min="17" max="17" width="10.8515625" style="0" customWidth="1"/>
  </cols>
  <sheetData>
    <row r="1" spans="1:10" ht="62.25" customHeight="1">
      <c r="A1" s="237" t="s">
        <v>325</v>
      </c>
      <c r="B1" s="237"/>
      <c r="C1" s="237"/>
      <c r="D1" s="237"/>
      <c r="E1" s="237"/>
      <c r="F1" s="237"/>
      <c r="G1" s="237"/>
      <c r="H1" s="237"/>
      <c r="I1" s="237"/>
      <c r="J1" s="237"/>
    </row>
    <row r="2" spans="1:17" ht="28.5" customHeight="1">
      <c r="A2" s="238" t="s">
        <v>238</v>
      </c>
      <c r="B2" s="239"/>
      <c r="C2" s="239"/>
      <c r="D2" s="239"/>
      <c r="E2" s="239"/>
      <c r="F2" s="239"/>
      <c r="G2" s="239"/>
      <c r="H2" s="239"/>
      <c r="I2" s="239"/>
      <c r="J2" s="239"/>
      <c r="Q2" t="s">
        <v>234</v>
      </c>
    </row>
    <row r="3" spans="1:18" ht="13.5" thickBot="1">
      <c r="A3" s="2"/>
      <c r="B3" s="9"/>
      <c r="C3" s="10"/>
      <c r="D3" s="10"/>
      <c r="E3" s="58"/>
      <c r="F3" s="10" t="s">
        <v>225</v>
      </c>
      <c r="G3" s="48" t="s">
        <v>210</v>
      </c>
      <c r="H3" s="215">
        <v>1485</v>
      </c>
      <c r="I3" t="s">
        <v>211</v>
      </c>
      <c r="Q3" s="73" t="s">
        <v>233</v>
      </c>
      <c r="R3" s="74" t="s">
        <v>232</v>
      </c>
    </row>
    <row r="4" spans="1:18" ht="16.5" thickTop="1">
      <c r="A4" s="2"/>
      <c r="B4" s="9"/>
      <c r="C4" s="10"/>
      <c r="D4" s="10"/>
      <c r="E4" s="58"/>
      <c r="F4" s="10" t="s">
        <v>226</v>
      </c>
      <c r="G4" s="48" t="s">
        <v>212</v>
      </c>
      <c r="H4" s="215">
        <v>125</v>
      </c>
      <c r="I4" t="s">
        <v>211</v>
      </c>
      <c r="Q4" s="72" t="s">
        <v>228</v>
      </c>
      <c r="R4">
        <v>40</v>
      </c>
    </row>
    <row r="5" spans="1:18" ht="15.75">
      <c r="A5" s="2"/>
      <c r="B5" s="9"/>
      <c r="C5" s="10"/>
      <c r="D5" s="10"/>
      <c r="E5" s="58"/>
      <c r="F5" s="10" t="s">
        <v>236</v>
      </c>
      <c r="G5" s="59" t="s">
        <v>218</v>
      </c>
      <c r="H5" s="215">
        <v>1</v>
      </c>
      <c r="Q5" s="72" t="s">
        <v>229</v>
      </c>
      <c r="R5">
        <v>38</v>
      </c>
    </row>
    <row r="6" spans="1:18" ht="12.75">
      <c r="A6" s="2"/>
      <c r="B6" s="9"/>
      <c r="F6" s="60" t="s">
        <v>215</v>
      </c>
      <c r="G6" s="10" t="s">
        <v>206</v>
      </c>
      <c r="H6" s="216">
        <v>5</v>
      </c>
      <c r="I6" s="9" t="s">
        <v>207</v>
      </c>
      <c r="Q6" s="72" t="s">
        <v>230</v>
      </c>
      <c r="R6">
        <v>35</v>
      </c>
    </row>
    <row r="7" spans="1:18" ht="12.75">
      <c r="A7" s="2"/>
      <c r="B7" s="9"/>
      <c r="F7" s="60"/>
      <c r="G7" s="10" t="s">
        <v>227</v>
      </c>
      <c r="H7" s="217" t="s">
        <v>229</v>
      </c>
      <c r="I7" s="9"/>
      <c r="Q7" s="72" t="s">
        <v>231</v>
      </c>
      <c r="R7">
        <v>25</v>
      </c>
    </row>
    <row r="8" spans="1:17" ht="12.75">
      <c r="A8" s="2"/>
      <c r="B8" s="9"/>
      <c r="C8" s="10"/>
      <c r="D8" s="10"/>
      <c r="G8" s="57" t="s">
        <v>213</v>
      </c>
      <c r="H8" s="71">
        <f>VLOOKUP(H7,Q4:R7,2)</f>
        <v>38</v>
      </c>
      <c r="I8" t="s">
        <v>214</v>
      </c>
      <c r="Q8" s="72"/>
    </row>
    <row r="9" spans="1:9" ht="13.5" thickBot="1">
      <c r="A9" s="2"/>
      <c r="B9" s="9"/>
      <c r="F9" s="10"/>
      <c r="G9" s="10"/>
      <c r="H9" s="58"/>
      <c r="I9" s="9"/>
    </row>
    <row r="10" spans="1:10" ht="12.75">
      <c r="A10" s="8" t="s">
        <v>216</v>
      </c>
      <c r="B10" s="65"/>
      <c r="C10" s="45"/>
      <c r="D10" s="45"/>
      <c r="E10" s="45"/>
      <c r="F10" s="66"/>
      <c r="G10" s="66"/>
      <c r="H10" s="67"/>
      <c r="I10" s="65"/>
      <c r="J10" s="68"/>
    </row>
    <row r="11" spans="1:10" ht="12.75">
      <c r="A11" s="1"/>
      <c r="B11" s="9"/>
      <c r="C11" s="2"/>
      <c r="D11" s="2"/>
      <c r="E11" s="2"/>
      <c r="F11" s="10"/>
      <c r="G11" s="10"/>
      <c r="H11" s="53"/>
      <c r="I11" s="9"/>
      <c r="J11" s="61"/>
    </row>
    <row r="12" spans="1:10" ht="12.75">
      <c r="A12" s="1"/>
      <c r="B12" s="9"/>
      <c r="C12" s="2"/>
      <c r="D12" s="2"/>
      <c r="E12" s="2"/>
      <c r="F12" s="10"/>
      <c r="G12" s="10"/>
      <c r="H12" s="58"/>
      <c r="I12" s="9"/>
      <c r="J12" s="61"/>
    </row>
    <row r="13" spans="1:10" ht="12.75">
      <c r="A13" s="1"/>
      <c r="B13" s="9"/>
      <c r="C13" s="2"/>
      <c r="D13" s="2"/>
      <c r="E13" s="2"/>
      <c r="F13" s="10"/>
      <c r="G13" s="10"/>
      <c r="H13" s="53"/>
      <c r="I13" s="9"/>
      <c r="J13" s="61"/>
    </row>
    <row r="14" spans="1:10" ht="12.75">
      <c r="A14" s="1"/>
      <c r="B14" s="9"/>
      <c r="C14" s="2"/>
      <c r="D14" s="2"/>
      <c r="E14" s="2"/>
      <c r="F14" s="10"/>
      <c r="G14" s="10"/>
      <c r="H14" s="53"/>
      <c r="I14" s="9"/>
      <c r="J14" s="61"/>
    </row>
    <row r="15" spans="1:10" ht="16.5" thickBot="1">
      <c r="A15" s="70" t="s">
        <v>217</v>
      </c>
      <c r="B15" s="69">
        <f>+H5/(1-H4/H3)^2</f>
        <v>1.1922713019031141</v>
      </c>
      <c r="C15" s="6"/>
      <c r="D15" s="6"/>
      <c r="E15" s="6"/>
      <c r="F15" s="6"/>
      <c r="G15" s="62"/>
      <c r="H15" s="63"/>
      <c r="I15" s="6"/>
      <c r="J15" s="64"/>
    </row>
    <row r="16" spans="1:10" ht="12.75">
      <c r="A16" s="2"/>
      <c r="B16" s="9"/>
      <c r="F16" s="11"/>
      <c r="G16" s="11"/>
      <c r="H16" s="13"/>
      <c r="I16" s="12"/>
      <c r="J16" s="9"/>
    </row>
    <row r="17" ht="13.5" thickBot="1"/>
    <row r="18" spans="1:10" ht="12.75">
      <c r="A18" s="234" t="s">
        <v>219</v>
      </c>
      <c r="B18" s="235"/>
      <c r="C18" s="235"/>
      <c r="D18" s="235"/>
      <c r="E18" s="235"/>
      <c r="F18" s="235"/>
      <c r="G18" s="235"/>
      <c r="H18" s="235"/>
      <c r="I18" s="235"/>
      <c r="J18" s="236"/>
    </row>
    <row r="19" spans="1:10" ht="12.75">
      <c r="A19" s="1"/>
      <c r="B19" s="2"/>
      <c r="C19" s="2"/>
      <c r="D19" s="2"/>
      <c r="E19" s="2"/>
      <c r="F19" s="2"/>
      <c r="G19" s="2"/>
      <c r="H19" s="2"/>
      <c r="I19" s="2"/>
      <c r="J19" s="75"/>
    </row>
    <row r="20" spans="1:10" ht="12.75">
      <c r="A20" s="1"/>
      <c r="B20" s="2"/>
      <c r="C20" s="2"/>
      <c r="D20" s="2"/>
      <c r="E20" s="2"/>
      <c r="F20" s="2"/>
      <c r="G20" s="2"/>
      <c r="H20" s="2"/>
      <c r="I20" s="2"/>
      <c r="J20" s="4"/>
    </row>
    <row r="21" spans="1:10" ht="12.75">
      <c r="A21" s="1"/>
      <c r="B21" s="2"/>
      <c r="C21" s="2"/>
      <c r="D21" s="2"/>
      <c r="E21" s="2"/>
      <c r="F21" s="2"/>
      <c r="G21" s="2"/>
      <c r="H21" s="2"/>
      <c r="I21" s="2"/>
      <c r="J21" s="4"/>
    </row>
    <row r="22" spans="1:10" ht="16.5" thickBot="1">
      <c r="A22" s="70" t="s">
        <v>220</v>
      </c>
      <c r="B22" s="76">
        <f>+B15*H4*(H6^2/2)*1.94</f>
        <v>3614.0723838938143</v>
      </c>
      <c r="C22" s="6" t="s">
        <v>14</v>
      </c>
      <c r="D22" s="6"/>
      <c r="E22" s="6"/>
      <c r="F22" s="6"/>
      <c r="G22" s="6"/>
      <c r="H22" s="6"/>
      <c r="I22" s="6"/>
      <c r="J22" s="7"/>
    </row>
    <row r="23" ht="13.5" thickBot="1"/>
    <row r="24" spans="1:10" ht="12.75">
      <c r="A24" s="234" t="s">
        <v>221</v>
      </c>
      <c r="B24" s="235"/>
      <c r="C24" s="235"/>
      <c r="D24" s="235"/>
      <c r="E24" s="235"/>
      <c r="F24" s="235"/>
      <c r="G24" s="235"/>
      <c r="H24" s="235"/>
      <c r="I24" s="235"/>
      <c r="J24" s="236"/>
    </row>
    <row r="25" spans="1:10" ht="12.75">
      <c r="A25" s="1"/>
      <c r="B25" s="2"/>
      <c r="C25" s="2"/>
      <c r="D25" s="54" t="s">
        <v>222</v>
      </c>
      <c r="E25" s="56">
        <f>TAN(RADIANS(H8))</f>
        <v>0.7812856265067174</v>
      </c>
      <c r="F25" s="55" t="s">
        <v>235</v>
      </c>
      <c r="G25" s="2"/>
      <c r="H25" s="2"/>
      <c r="I25" s="2"/>
      <c r="J25" s="4"/>
    </row>
    <row r="26" spans="1:10" ht="12.75">
      <c r="A26" s="1"/>
      <c r="B26" s="2"/>
      <c r="C26" s="2"/>
      <c r="D26" s="3"/>
      <c r="E26" s="56"/>
      <c r="F26" s="55"/>
      <c r="G26" s="2"/>
      <c r="H26" s="2"/>
      <c r="I26" s="2"/>
      <c r="J26" s="4"/>
    </row>
    <row r="27" spans="1:10" ht="16.5" thickBot="1">
      <c r="A27" s="70" t="s">
        <v>208</v>
      </c>
      <c r="B27" s="6" t="s">
        <v>223</v>
      </c>
      <c r="C27" s="6"/>
      <c r="D27" s="77">
        <f>+(+'Buoyancy FOS'!H36-'Buoyancy FOS'!I10-'Buoyancy FOS'!I19-'Buoyancy FOS'!I28)*E25</f>
        <v>-19110.132407062883</v>
      </c>
      <c r="E27" s="6" t="s">
        <v>14</v>
      </c>
      <c r="F27" s="6"/>
      <c r="G27" s="78"/>
      <c r="H27" s="76"/>
      <c r="I27" s="6"/>
      <c r="J27" s="7"/>
    </row>
    <row r="28" ht="21.75" customHeight="1" thickBot="1"/>
    <row r="29" spans="1:10" ht="12.75">
      <c r="A29" s="231" t="s">
        <v>224</v>
      </c>
      <c r="B29" s="232"/>
      <c r="C29" s="232"/>
      <c r="D29" s="232"/>
      <c r="E29" s="232"/>
      <c r="F29" s="232"/>
      <c r="G29" s="232"/>
      <c r="H29" s="232"/>
      <c r="I29" s="232"/>
      <c r="J29" s="233"/>
    </row>
    <row r="30" spans="1:10" ht="12.75">
      <c r="A30" s="1"/>
      <c r="B30" s="2"/>
      <c r="C30" s="2"/>
      <c r="D30" s="2"/>
      <c r="E30" s="2"/>
      <c r="F30" s="2"/>
      <c r="G30" s="2"/>
      <c r="H30" s="2"/>
      <c r="I30" s="2"/>
      <c r="J30" s="4"/>
    </row>
    <row r="31" spans="1:10" ht="13.5" thickBot="1">
      <c r="A31" s="1"/>
      <c r="B31" s="2"/>
      <c r="C31" s="2"/>
      <c r="D31" s="2"/>
      <c r="E31" s="14"/>
      <c r="F31" s="15"/>
      <c r="G31" s="2"/>
      <c r="H31" s="2"/>
      <c r="I31" s="2"/>
      <c r="J31" s="4"/>
    </row>
    <row r="32" spans="1:10" ht="17.25" thickBot="1" thickTop="1">
      <c r="A32" s="1"/>
      <c r="B32" s="2"/>
      <c r="C32" s="2"/>
      <c r="D32" s="2"/>
      <c r="E32" s="46" t="s">
        <v>209</v>
      </c>
      <c r="F32" s="47">
        <f>+D27/B22</f>
        <v>-5.287700515415123</v>
      </c>
      <c r="G32" s="2"/>
      <c r="H32" s="2"/>
      <c r="I32" s="2"/>
      <c r="J32" s="4"/>
    </row>
    <row r="33" spans="1:10" ht="13.5" thickTop="1">
      <c r="A33" s="1"/>
      <c r="B33" s="2"/>
      <c r="C33" s="2"/>
      <c r="D33" s="2"/>
      <c r="E33" s="16"/>
      <c r="F33" s="16"/>
      <c r="G33" s="2"/>
      <c r="H33" s="2"/>
      <c r="I33" s="2"/>
      <c r="J33" s="4"/>
    </row>
    <row r="34" spans="1:10" ht="13.5" thickBot="1">
      <c r="A34" s="5"/>
      <c r="B34" s="6"/>
      <c r="C34" s="6"/>
      <c r="D34" s="6"/>
      <c r="E34" s="6"/>
      <c r="F34" s="6"/>
      <c r="G34" s="6"/>
      <c r="H34" s="6"/>
      <c r="I34" s="6"/>
      <c r="J34" s="7"/>
    </row>
  </sheetData>
  <sheetProtection password="C974" sheet="1" objects="1" scenarios="1"/>
  <mergeCells count="5">
    <mergeCell ref="A29:J29"/>
    <mergeCell ref="A18:J18"/>
    <mergeCell ref="A1:J1"/>
    <mergeCell ref="A24:J24"/>
    <mergeCell ref="A2:J2"/>
  </mergeCells>
  <dataValidations count="1">
    <dataValidation type="list" allowBlank="1" showInputMessage="1" showErrorMessage="1" sqref="H7">
      <formula1>$Q$4:$Q$8</formula1>
    </dataValidation>
  </dataValidations>
  <printOptions/>
  <pageMargins left="0.75" right="0.75" top="1" bottom="1" header="0.5" footer="0.5"/>
  <pageSetup fitToHeight="1" fitToWidth="1" horizontalDpi="600" verticalDpi="600" orientation="portrait" r:id="rId6"/>
  <drawing r:id="rId5"/>
  <legacyDrawing r:id="rId4"/>
  <oleObjects>
    <oleObject progId="Equation.3" shapeId="303127" r:id="rId1"/>
    <oleObject progId="Equation.3" shapeId="303126" r:id="rId2"/>
    <oleObject progId="Equation.3" shapeId="303125" r:id="rId3"/>
  </oleObjects>
</worksheet>
</file>

<file path=xl/worksheets/sheet3.xml><?xml version="1.0" encoding="utf-8"?>
<worksheet xmlns="http://schemas.openxmlformats.org/spreadsheetml/2006/main" xmlns:r="http://schemas.openxmlformats.org/officeDocument/2006/relationships">
  <sheetPr>
    <tabColor theme="9" tint="-0.24997000396251678"/>
  </sheetPr>
  <dimension ref="A1:L13"/>
  <sheetViews>
    <sheetView zoomScalePageLayoutView="0" workbookViewId="0" topLeftCell="A1">
      <selection activeCell="H11" sqref="H11"/>
    </sheetView>
  </sheetViews>
  <sheetFormatPr defaultColWidth="9.140625" defaultRowHeight="12.75"/>
  <cols>
    <col min="1" max="1" width="5.7109375" style="0" customWidth="1"/>
    <col min="2" max="2" width="6.8515625" style="0" customWidth="1"/>
    <col min="3" max="3" width="5.57421875" style="0" customWidth="1"/>
    <col min="6" max="6" width="6.8515625" style="0" customWidth="1"/>
    <col min="10" max="10" width="10.57421875" style="0" customWidth="1"/>
    <col min="11" max="11" width="4.421875" style="0" customWidth="1"/>
    <col min="12" max="12" width="8.421875" style="0" customWidth="1"/>
  </cols>
  <sheetData>
    <row r="1" spans="1:12" ht="39" customHeight="1">
      <c r="A1" s="237" t="s">
        <v>326</v>
      </c>
      <c r="B1" s="237"/>
      <c r="C1" s="237"/>
      <c r="D1" s="237"/>
      <c r="E1" s="237"/>
      <c r="F1" s="237"/>
      <c r="G1" s="237"/>
      <c r="H1" s="237"/>
      <c r="I1" s="237"/>
      <c r="J1" s="237"/>
      <c r="K1" s="237"/>
      <c r="L1" s="237"/>
    </row>
    <row r="2" spans="1:12" ht="47.25" customHeight="1">
      <c r="A2" s="240" t="s">
        <v>205</v>
      </c>
      <c r="B2" s="240"/>
      <c r="C2" s="240"/>
      <c r="D2" s="240"/>
      <c r="E2" s="240"/>
      <c r="F2" s="240"/>
      <c r="G2" s="240"/>
      <c r="H2" s="240"/>
      <c r="I2" s="240"/>
      <c r="J2" s="240"/>
      <c r="K2" s="240"/>
      <c r="L2" s="240"/>
    </row>
    <row r="9" spans="4:6" ht="15.75">
      <c r="D9" s="48" t="s">
        <v>194</v>
      </c>
      <c r="E9" s="218">
        <v>40</v>
      </c>
      <c r="F9" t="s">
        <v>191</v>
      </c>
    </row>
    <row r="10" spans="4:6" ht="15.75">
      <c r="D10" s="48" t="s">
        <v>195</v>
      </c>
      <c r="E10" s="218">
        <v>10</v>
      </c>
      <c r="F10" t="s">
        <v>192</v>
      </c>
    </row>
    <row r="11" spans="4:6" ht="12.75">
      <c r="D11" s="48" t="s">
        <v>193</v>
      </c>
      <c r="E11" s="219">
        <v>0.28</v>
      </c>
      <c r="F11" t="s">
        <v>237</v>
      </c>
    </row>
    <row r="12" ht="13.5" thickBot="1"/>
    <row r="13" spans="4:10" ht="17.25" thickBot="1" thickTop="1">
      <c r="D13" s="49" t="s">
        <v>197</v>
      </c>
      <c r="E13" s="50">
        <f>1.1*(E9/E10)^0.4*E11^0.33*E10</f>
        <v>12.582844570940315</v>
      </c>
      <c r="F13" s="51" t="s">
        <v>196</v>
      </c>
      <c r="G13" s="51"/>
      <c r="H13" s="51"/>
      <c r="I13" s="51"/>
      <c r="J13" s="52"/>
    </row>
    <row r="14" ht="13.5" thickTop="1"/>
  </sheetData>
  <sheetProtection password="C974" sheet="1" objects="1" scenarios="1"/>
  <mergeCells count="2">
    <mergeCell ref="A1:L1"/>
    <mergeCell ref="A2:L2"/>
  </mergeCells>
  <printOptions horizontalCentered="1"/>
  <pageMargins left="0.75" right="0.75" top="1" bottom="1" header="0.5" footer="0.5"/>
  <pageSetup horizontalDpi="600" verticalDpi="600" orientation="landscape" r:id="rId3"/>
  <legacyDrawing r:id="rId2"/>
  <oleObjects>
    <oleObject progId="Equation.3" shapeId="303124" r:id="rId1"/>
  </oleObjects>
</worksheet>
</file>

<file path=xl/worksheets/sheet4.xml><?xml version="1.0" encoding="utf-8"?>
<worksheet xmlns="http://schemas.openxmlformats.org/spreadsheetml/2006/main" xmlns:r="http://schemas.openxmlformats.org/officeDocument/2006/relationships">
  <sheetPr>
    <tabColor theme="9" tint="-0.24997000396251678"/>
    <pageSetUpPr fitToPage="1"/>
  </sheetPr>
  <dimension ref="A1:L57"/>
  <sheetViews>
    <sheetView zoomScale="90" zoomScaleNormal="90" zoomScalePageLayoutView="0" workbookViewId="0" topLeftCell="A1">
      <selection activeCell="K14" sqref="K14"/>
    </sheetView>
  </sheetViews>
  <sheetFormatPr defaultColWidth="9.140625" defaultRowHeight="12.75"/>
  <cols>
    <col min="4" max="4" width="7.421875" style="0" customWidth="1"/>
    <col min="10" max="10" width="20.8515625" style="0" customWidth="1"/>
  </cols>
  <sheetData>
    <row r="1" spans="1:12" ht="72" customHeight="1">
      <c r="A1" s="241" t="s">
        <v>370</v>
      </c>
      <c r="B1" s="237"/>
      <c r="C1" s="237"/>
      <c r="D1" s="237"/>
      <c r="E1" s="237"/>
      <c r="F1" s="237"/>
      <c r="G1" s="237"/>
      <c r="H1" s="237"/>
      <c r="I1" s="237"/>
      <c r="J1" s="237"/>
      <c r="K1" s="197"/>
      <c r="L1" s="197"/>
    </row>
    <row r="2" spans="1:10" ht="16.5">
      <c r="A2" s="184"/>
      <c r="B2" s="185"/>
      <c r="C2" s="186"/>
      <c r="D2" s="187"/>
      <c r="E2" s="187"/>
      <c r="F2" s="185"/>
      <c r="G2" s="186"/>
      <c r="H2" s="184"/>
      <c r="I2" s="185"/>
      <c r="J2" s="188"/>
    </row>
    <row r="3" spans="1:10" ht="15">
      <c r="A3" s="242" t="s">
        <v>345</v>
      </c>
      <c r="B3" s="243"/>
      <c r="C3" s="243"/>
      <c r="D3" s="243"/>
      <c r="E3" s="243"/>
      <c r="F3" s="243"/>
      <c r="G3" s="243"/>
      <c r="H3" s="243"/>
      <c r="I3" s="243"/>
      <c r="J3" s="244"/>
    </row>
    <row r="4" spans="1:10" ht="12.75">
      <c r="A4" s="98"/>
      <c r="B4" s="2"/>
      <c r="C4" s="2"/>
      <c r="D4" s="2"/>
      <c r="E4" s="2"/>
      <c r="F4" s="10" t="s">
        <v>366</v>
      </c>
      <c r="G4" s="10" t="s">
        <v>346</v>
      </c>
      <c r="H4" s="216">
        <v>140</v>
      </c>
      <c r="I4" s="2" t="s">
        <v>347</v>
      </c>
      <c r="J4" s="198" t="s">
        <v>368</v>
      </c>
    </row>
    <row r="5" spans="1:10" ht="13.5">
      <c r="A5" s="98"/>
      <c r="B5" s="2"/>
      <c r="C5" s="2"/>
      <c r="D5" s="2"/>
      <c r="E5" s="2"/>
      <c r="F5" s="10" t="s">
        <v>348</v>
      </c>
      <c r="G5" s="10" t="s">
        <v>349</v>
      </c>
      <c r="H5" s="216">
        <v>0.08</v>
      </c>
      <c r="I5" s="2" t="s">
        <v>350</v>
      </c>
      <c r="J5" s="100"/>
    </row>
    <row r="6" spans="1:10" ht="13.5">
      <c r="A6" s="98"/>
      <c r="B6" s="2"/>
      <c r="C6" s="2"/>
      <c r="D6" s="2"/>
      <c r="E6" s="2"/>
      <c r="F6" s="10" t="s">
        <v>351</v>
      </c>
      <c r="G6" s="10" t="s">
        <v>352</v>
      </c>
      <c r="H6" s="216">
        <v>30</v>
      </c>
      <c r="I6" s="2" t="s">
        <v>350</v>
      </c>
      <c r="J6" s="100"/>
    </row>
    <row r="7" spans="1:10" ht="12.75">
      <c r="A7" s="98"/>
      <c r="B7" s="2"/>
      <c r="C7" s="2"/>
      <c r="D7" s="2"/>
      <c r="E7" s="2"/>
      <c r="F7" s="10" t="s">
        <v>353</v>
      </c>
      <c r="G7" s="10" t="s">
        <v>354</v>
      </c>
      <c r="H7" s="216">
        <v>1.9</v>
      </c>
      <c r="I7" s="2" t="s">
        <v>355</v>
      </c>
      <c r="J7" s="100"/>
    </row>
    <row r="8" spans="1:10" ht="15.75">
      <c r="A8" s="98"/>
      <c r="B8" s="2"/>
      <c r="C8" s="2"/>
      <c r="D8" s="2"/>
      <c r="E8" s="2"/>
      <c r="F8" s="3" t="s">
        <v>356</v>
      </c>
      <c r="G8" s="3" t="s">
        <v>357</v>
      </c>
      <c r="H8" s="216">
        <v>8</v>
      </c>
      <c r="I8" s="2" t="s">
        <v>350</v>
      </c>
      <c r="J8" s="100"/>
    </row>
    <row r="9" spans="1:10" ht="15.75">
      <c r="A9" s="98"/>
      <c r="B9" s="2"/>
      <c r="C9" s="2"/>
      <c r="D9" s="2"/>
      <c r="E9" s="2"/>
      <c r="F9" s="3" t="s">
        <v>358</v>
      </c>
      <c r="G9" s="3" t="s">
        <v>359</v>
      </c>
      <c r="H9" s="216">
        <v>0.033</v>
      </c>
      <c r="I9" s="2" t="s">
        <v>350</v>
      </c>
      <c r="J9" s="100"/>
    </row>
    <row r="10" spans="1:10" ht="15.75">
      <c r="A10" s="107"/>
      <c r="B10" s="103"/>
      <c r="C10" s="103"/>
      <c r="D10" s="103"/>
      <c r="E10" s="103"/>
      <c r="F10" s="199" t="s">
        <v>369</v>
      </c>
      <c r="G10" s="189" t="s">
        <v>360</v>
      </c>
      <c r="H10" s="220">
        <v>3</v>
      </c>
      <c r="I10" s="103" t="s">
        <v>350</v>
      </c>
      <c r="J10" s="104"/>
    </row>
    <row r="32" spans="1:10" ht="15">
      <c r="A32" s="245" t="s">
        <v>361</v>
      </c>
      <c r="B32" s="246"/>
      <c r="C32" s="246"/>
      <c r="D32" s="246"/>
      <c r="E32" s="246"/>
      <c r="F32" s="246"/>
      <c r="G32" s="246"/>
      <c r="H32" s="246"/>
      <c r="I32" s="246"/>
      <c r="J32" s="247"/>
    </row>
    <row r="33" spans="1:10" ht="12.75">
      <c r="A33" s="190"/>
      <c r="B33" s="2"/>
      <c r="C33" s="2"/>
      <c r="D33" s="2"/>
      <c r="E33" s="2"/>
      <c r="F33" s="2"/>
      <c r="G33" s="2"/>
      <c r="H33" s="2"/>
      <c r="I33" s="2"/>
      <c r="J33" s="99"/>
    </row>
    <row r="34" spans="1:10" ht="12.75">
      <c r="A34" s="98"/>
      <c r="B34" s="2"/>
      <c r="C34" s="2"/>
      <c r="D34" s="2"/>
      <c r="E34" s="2"/>
      <c r="G34" s="2"/>
      <c r="H34" s="2"/>
      <c r="I34" s="2"/>
      <c r="J34" s="100"/>
    </row>
    <row r="35" spans="1:10" ht="12.75">
      <c r="A35" s="98"/>
      <c r="B35" s="2"/>
      <c r="F35" s="16" t="s">
        <v>362</v>
      </c>
      <c r="G35" s="2"/>
      <c r="H35" s="2"/>
      <c r="I35" s="2"/>
      <c r="J35" s="100"/>
    </row>
    <row r="36" spans="1:10" ht="12.75">
      <c r="A36" s="98"/>
      <c r="B36" s="2"/>
      <c r="F36" s="2"/>
      <c r="G36" s="2"/>
      <c r="H36" s="2"/>
      <c r="I36" s="2"/>
      <c r="J36" s="100"/>
    </row>
    <row r="37" spans="1:10" ht="12.75">
      <c r="A37" s="98"/>
      <c r="B37" s="2"/>
      <c r="G37" s="2"/>
      <c r="H37" s="2"/>
      <c r="I37" s="2"/>
      <c r="J37" s="100"/>
    </row>
    <row r="38" spans="1:10" ht="14.25">
      <c r="A38" s="98"/>
      <c r="B38" s="2"/>
      <c r="C38" s="14" t="s">
        <v>363</v>
      </c>
      <c r="D38" s="191">
        <f>+(H7*(H5*0.3048)^0.225*(H4*0.0929)^0.54-(H6*0.3048))/0.3048</f>
        <v>-19.198728644963616</v>
      </c>
      <c r="E38" s="192" t="str">
        <f>IF(D38&lt;0,"Negative number means no streambed scour expected","feet of scour below existing streambed elevation")</f>
        <v>Negative number means no streambed scour expected</v>
      </c>
      <c r="F38" s="2"/>
      <c r="G38" s="2"/>
      <c r="H38" s="2"/>
      <c r="I38" s="2"/>
      <c r="J38" s="100"/>
    </row>
    <row r="39" spans="1:10" ht="12.75">
      <c r="A39" s="101"/>
      <c r="B39" s="102"/>
      <c r="C39" s="103"/>
      <c r="D39" s="103"/>
      <c r="E39" s="103"/>
      <c r="F39" s="103"/>
      <c r="G39" s="103"/>
      <c r="H39" s="103"/>
      <c r="I39" s="103"/>
      <c r="J39" s="193"/>
    </row>
    <row r="41" spans="1:10" ht="15">
      <c r="A41" s="245" t="s">
        <v>367</v>
      </c>
      <c r="B41" s="246"/>
      <c r="C41" s="246"/>
      <c r="D41" s="246"/>
      <c r="E41" s="246"/>
      <c r="F41" s="246"/>
      <c r="G41" s="246"/>
      <c r="H41" s="246"/>
      <c r="I41" s="246"/>
      <c r="J41" s="247"/>
    </row>
    <row r="42" spans="1:10" ht="12.75">
      <c r="A42" s="98"/>
      <c r="B42" s="2"/>
      <c r="C42" s="2"/>
      <c r="D42" s="2"/>
      <c r="E42" s="2"/>
      <c r="F42" s="2"/>
      <c r="G42" s="2"/>
      <c r="H42" s="2"/>
      <c r="I42" s="2"/>
      <c r="J42" s="100"/>
    </row>
    <row r="43" spans="1:10" ht="12.75">
      <c r="A43" s="98"/>
      <c r="B43" s="2"/>
      <c r="C43" s="2"/>
      <c r="D43" s="2"/>
      <c r="E43" s="2"/>
      <c r="G43" s="2"/>
      <c r="H43" s="2"/>
      <c r="I43" s="2"/>
      <c r="J43" s="100"/>
    </row>
    <row r="44" spans="1:10" ht="12.75">
      <c r="A44" s="98"/>
      <c r="B44" s="2"/>
      <c r="C44" s="2"/>
      <c r="D44" s="2"/>
      <c r="E44" s="2"/>
      <c r="F44" s="16" t="s">
        <v>362</v>
      </c>
      <c r="G44" s="2"/>
      <c r="H44" s="2"/>
      <c r="I44" s="2"/>
      <c r="J44" s="100"/>
    </row>
    <row r="45" spans="1:10" ht="12.75">
      <c r="A45" s="98"/>
      <c r="B45" s="2"/>
      <c r="C45" s="2"/>
      <c r="D45" s="2"/>
      <c r="E45" s="2"/>
      <c r="F45" s="16"/>
      <c r="G45" s="2"/>
      <c r="H45" s="2"/>
      <c r="I45" s="2"/>
      <c r="J45" s="100"/>
    </row>
    <row r="46" spans="1:10" ht="12.75">
      <c r="A46" s="98"/>
      <c r="B46" s="2"/>
      <c r="C46" s="2"/>
      <c r="D46" s="2"/>
      <c r="E46" s="2"/>
      <c r="F46" s="2"/>
      <c r="G46" s="2"/>
      <c r="H46" s="2"/>
      <c r="I46" s="2"/>
      <c r="J46" s="100"/>
    </row>
    <row r="47" spans="1:10" ht="14.25">
      <c r="A47" s="98"/>
      <c r="B47" s="2"/>
      <c r="C47" s="14" t="s">
        <v>363</v>
      </c>
      <c r="D47" s="191">
        <f>((3.68*(H5*0.3048)^0.225*(H4*0.0929)^0.54)/(H9*304.8)^0.32)*3.28-H6</f>
        <v>-20.008086813541535</v>
      </c>
      <c r="E47" s="192" t="str">
        <f>IF(D47&lt;0,"Negative number means no streambed scour expected","feet of scour below existing streambed elevation")</f>
        <v>Negative number means no streambed scour expected</v>
      </c>
      <c r="F47" s="2"/>
      <c r="G47" s="2"/>
      <c r="H47" s="2"/>
      <c r="I47" s="2"/>
      <c r="J47" s="100"/>
    </row>
    <row r="48" spans="1:10" ht="12.75">
      <c r="A48" s="107"/>
      <c r="B48" s="103"/>
      <c r="C48" s="103"/>
      <c r="D48" s="103"/>
      <c r="E48" s="103"/>
      <c r="F48" s="103"/>
      <c r="G48" s="103"/>
      <c r="H48" s="103"/>
      <c r="I48" s="103"/>
      <c r="J48" s="104"/>
    </row>
    <row r="50" spans="1:10" ht="15">
      <c r="A50" s="245" t="s">
        <v>365</v>
      </c>
      <c r="B50" s="246"/>
      <c r="C50" s="246"/>
      <c r="D50" s="246"/>
      <c r="E50" s="246"/>
      <c r="F50" s="246"/>
      <c r="G50" s="246"/>
      <c r="H50" s="246"/>
      <c r="I50" s="246"/>
      <c r="J50" s="247"/>
    </row>
    <row r="51" spans="1:10" ht="15">
      <c r="A51" s="194"/>
      <c r="B51" s="195"/>
      <c r="C51" s="195"/>
      <c r="D51" s="195"/>
      <c r="E51" s="195"/>
      <c r="F51" s="195"/>
      <c r="G51" s="195"/>
      <c r="H51" s="195"/>
      <c r="I51" s="195"/>
      <c r="J51" s="196"/>
    </row>
    <row r="52" spans="1:10" ht="15">
      <c r="A52" s="194"/>
      <c r="B52" s="195"/>
      <c r="C52" s="195"/>
      <c r="D52" s="195"/>
      <c r="E52" s="195"/>
      <c r="F52" s="195"/>
      <c r="G52" s="195"/>
      <c r="H52" s="195"/>
      <c r="I52" s="195"/>
      <c r="J52" s="196"/>
    </row>
    <row r="53" spans="1:10" ht="12.75">
      <c r="A53" s="190"/>
      <c r="B53" s="2"/>
      <c r="C53" s="2"/>
      <c r="D53" s="2"/>
      <c r="E53" s="2"/>
      <c r="F53" s="2"/>
      <c r="G53" s="2"/>
      <c r="H53" s="2"/>
      <c r="I53" s="2"/>
      <c r="J53" s="99"/>
    </row>
    <row r="54" spans="1:10" ht="12.75">
      <c r="A54" s="190"/>
      <c r="B54" s="2"/>
      <c r="C54" s="2"/>
      <c r="D54" s="2"/>
      <c r="E54" s="2"/>
      <c r="F54" s="2"/>
      <c r="G54" s="2"/>
      <c r="H54" s="2"/>
      <c r="I54" s="2"/>
      <c r="J54" s="99"/>
    </row>
    <row r="55" spans="1:10" ht="12.75">
      <c r="A55" s="98"/>
      <c r="B55" s="2"/>
      <c r="C55" s="2"/>
      <c r="D55" s="2"/>
      <c r="E55" s="2"/>
      <c r="F55" s="2"/>
      <c r="G55" s="2"/>
      <c r="H55" s="2"/>
      <c r="I55" s="2"/>
      <c r="J55" s="100"/>
    </row>
    <row r="56" spans="1:10" ht="14.25">
      <c r="A56" s="98"/>
      <c r="B56" s="2"/>
      <c r="C56" s="14" t="s">
        <v>363</v>
      </c>
      <c r="D56" s="191">
        <f>+((4*(H8/H9)^0.2-3*(H10/H8)^0.1)*H8)-H6</f>
        <v>44.1966955213347</v>
      </c>
      <c r="E56" s="192" t="s">
        <v>364</v>
      </c>
      <c r="F56" s="2"/>
      <c r="G56" s="2"/>
      <c r="H56" s="2"/>
      <c r="I56" s="2"/>
      <c r="J56" s="100"/>
    </row>
    <row r="57" spans="1:10" ht="12.75">
      <c r="A57" s="101"/>
      <c r="B57" s="102"/>
      <c r="C57" s="103"/>
      <c r="D57" s="103"/>
      <c r="E57" s="103"/>
      <c r="F57" s="103"/>
      <c r="G57" s="103"/>
      <c r="H57" s="103"/>
      <c r="I57" s="103"/>
      <c r="J57" s="193"/>
    </row>
  </sheetData>
  <sheetProtection password="C974" sheet="1" objects="1" scenarios="1"/>
  <mergeCells count="5">
    <mergeCell ref="A1:J1"/>
    <mergeCell ref="A3:J3"/>
    <mergeCell ref="A32:J32"/>
    <mergeCell ref="A50:J50"/>
    <mergeCell ref="A41:J41"/>
  </mergeCells>
  <printOptions/>
  <pageMargins left="0.7" right="0.7" top="0.75" bottom="0.75" header="0.3" footer="0.3"/>
  <pageSetup fitToHeight="1" fitToWidth="1" horizontalDpi="600" verticalDpi="600" orientation="portrait" scale="91" r:id="rId6"/>
  <drawing r:id="rId5"/>
  <legacyDrawing r:id="rId4"/>
  <oleObjects>
    <oleObject progId="Equation.3" shapeId="303123" r:id="rId1"/>
    <oleObject progId="Equation.3" shapeId="303122" r:id="rId2"/>
    <oleObject progId="Equation.3" shapeId="303121" r:id="rId3"/>
  </oleObjects>
</worksheet>
</file>

<file path=xl/worksheets/sheet5.xml><?xml version="1.0" encoding="utf-8"?>
<worksheet xmlns="http://schemas.openxmlformats.org/spreadsheetml/2006/main" xmlns:r="http://schemas.openxmlformats.org/officeDocument/2006/relationships">
  <sheetPr>
    <tabColor indexed="10"/>
  </sheetPr>
  <dimension ref="A1:L21"/>
  <sheetViews>
    <sheetView zoomScalePageLayoutView="0" workbookViewId="0" topLeftCell="A1">
      <selection activeCell="D7" sqref="D7"/>
    </sheetView>
  </sheetViews>
  <sheetFormatPr defaultColWidth="9.140625" defaultRowHeight="12.75"/>
  <cols>
    <col min="1" max="1" width="5.7109375" style="0" customWidth="1"/>
    <col min="2" max="2" width="6.8515625" style="0" customWidth="1"/>
    <col min="3" max="3" width="6.57421875" style="0" customWidth="1"/>
    <col min="4" max="4" width="7.28125" style="0" customWidth="1"/>
    <col min="6" max="6" width="6.8515625" style="0" customWidth="1"/>
    <col min="10" max="10" width="10.57421875" style="0" customWidth="1"/>
    <col min="11" max="11" width="4.421875" style="0" customWidth="1"/>
    <col min="12" max="12" width="8.421875" style="0" customWidth="1"/>
  </cols>
  <sheetData>
    <row r="1" spans="1:12" ht="39" customHeight="1">
      <c r="A1" s="237" t="s">
        <v>327</v>
      </c>
      <c r="B1" s="237"/>
      <c r="C1" s="237"/>
      <c r="D1" s="237"/>
      <c r="E1" s="237"/>
      <c r="F1" s="237"/>
      <c r="G1" s="237"/>
      <c r="H1" s="237"/>
      <c r="I1" s="237"/>
      <c r="J1" s="237"/>
      <c r="K1" s="237"/>
      <c r="L1" s="237"/>
    </row>
    <row r="2" spans="1:12" ht="47.25" customHeight="1">
      <c r="A2" s="240" t="s">
        <v>250</v>
      </c>
      <c r="B2" s="240"/>
      <c r="C2" s="240"/>
      <c r="D2" s="240"/>
      <c r="E2" s="240"/>
      <c r="F2" s="240"/>
      <c r="G2" s="240"/>
      <c r="H2" s="240"/>
      <c r="I2" s="240"/>
      <c r="J2" s="240"/>
      <c r="K2" s="240"/>
      <c r="L2" s="240"/>
    </row>
    <row r="5" spans="3:5" ht="15.75">
      <c r="C5" s="48" t="s">
        <v>242</v>
      </c>
      <c r="D5" s="221">
        <v>400</v>
      </c>
      <c r="E5" t="s">
        <v>240</v>
      </c>
    </row>
    <row r="6" spans="3:5" ht="12.75">
      <c r="C6" s="48" t="s">
        <v>241</v>
      </c>
      <c r="D6" s="221">
        <v>90</v>
      </c>
      <c r="E6" t="s">
        <v>247</v>
      </c>
    </row>
    <row r="7" spans="3:5" ht="12.75">
      <c r="C7" s="48" t="s">
        <v>243</v>
      </c>
      <c r="D7" s="83">
        <f>+D5/D6</f>
        <v>4.444444444444445</v>
      </c>
      <c r="E7" t="s">
        <v>244</v>
      </c>
    </row>
    <row r="8" spans="3:5" ht="15.75">
      <c r="C8" s="48" t="s">
        <v>194</v>
      </c>
      <c r="D8" s="83">
        <f>'Scour ELW'!E9</f>
        <v>40</v>
      </c>
      <c r="E8" t="s">
        <v>191</v>
      </c>
    </row>
    <row r="9" ht="13.5" thickBot="1"/>
    <row r="10" spans="1:12" ht="13.5" thickTop="1">
      <c r="A10" s="89" t="s">
        <v>251</v>
      </c>
      <c r="B10" s="79"/>
      <c r="C10" s="79"/>
      <c r="D10" s="79"/>
      <c r="E10" s="79"/>
      <c r="F10" s="79"/>
      <c r="G10" s="79"/>
      <c r="H10" s="79"/>
      <c r="I10" s="79"/>
      <c r="J10" s="79"/>
      <c r="K10" s="79"/>
      <c r="L10" s="80"/>
    </row>
    <row r="11" spans="1:12" ht="12.75">
      <c r="A11" s="90"/>
      <c r="B11" s="2"/>
      <c r="C11" s="3" t="s">
        <v>252</v>
      </c>
      <c r="D11" s="88">
        <f>+D8*D7</f>
        <v>177.77777777777777</v>
      </c>
      <c r="E11" s="2" t="s">
        <v>248</v>
      </c>
      <c r="F11" s="2"/>
      <c r="G11" s="2"/>
      <c r="H11" s="2"/>
      <c r="I11" s="2"/>
      <c r="J11" s="2"/>
      <c r="K11" s="2"/>
      <c r="L11" s="87"/>
    </row>
    <row r="12" spans="1:12" ht="12.75">
      <c r="A12" s="90"/>
      <c r="B12" s="2"/>
      <c r="C12" s="2"/>
      <c r="D12" s="2"/>
      <c r="E12" s="2"/>
      <c r="F12" s="2"/>
      <c r="G12" s="2"/>
      <c r="H12" s="2"/>
      <c r="I12" s="2"/>
      <c r="J12" s="2"/>
      <c r="K12" s="2"/>
      <c r="L12" s="87"/>
    </row>
    <row r="13" spans="1:12" ht="12.75">
      <c r="A13" s="91" t="s">
        <v>256</v>
      </c>
      <c r="B13" s="2"/>
      <c r="C13" s="2"/>
      <c r="D13" s="2"/>
      <c r="E13" s="2"/>
      <c r="F13" s="2"/>
      <c r="G13" s="2"/>
      <c r="H13" s="2"/>
      <c r="I13" s="2"/>
      <c r="J13" s="2"/>
      <c r="K13" s="2"/>
      <c r="L13" s="87"/>
    </row>
    <row r="14" spans="1:12" ht="15.75">
      <c r="A14" s="90"/>
      <c r="B14" s="2"/>
      <c r="C14" s="3" t="s">
        <v>253</v>
      </c>
      <c r="D14" s="86">
        <f>3*D8</f>
        <v>120</v>
      </c>
      <c r="E14" s="2" t="s">
        <v>249</v>
      </c>
      <c r="F14" s="2"/>
      <c r="G14" s="2"/>
      <c r="H14" s="2"/>
      <c r="I14" s="2"/>
      <c r="J14" s="2"/>
      <c r="K14" s="2"/>
      <c r="L14" s="87"/>
    </row>
    <row r="15" spans="1:12" ht="16.5" thickBot="1">
      <c r="A15" s="92"/>
      <c r="B15" s="81"/>
      <c r="C15" s="93" t="s">
        <v>254</v>
      </c>
      <c r="D15" s="84">
        <f>5*D8</f>
        <v>200</v>
      </c>
      <c r="E15" s="81" t="s">
        <v>239</v>
      </c>
      <c r="F15" s="81"/>
      <c r="G15" s="81"/>
      <c r="H15" s="81"/>
      <c r="I15" s="81"/>
      <c r="J15" s="81"/>
      <c r="K15" s="81"/>
      <c r="L15" s="82"/>
    </row>
    <row r="16" ht="13.5" thickTop="1"/>
    <row r="19" ht="12.75">
      <c r="A19" t="s">
        <v>255</v>
      </c>
    </row>
    <row r="20" ht="12.75">
      <c r="A20" s="85" t="s">
        <v>245</v>
      </c>
    </row>
    <row r="21" ht="12.75">
      <c r="A21" s="85" t="s">
        <v>246</v>
      </c>
    </row>
  </sheetData>
  <sheetProtection password="C974" sheet="1" objects="1" scenarios="1"/>
  <mergeCells count="2">
    <mergeCell ref="A1:L1"/>
    <mergeCell ref="A2:L2"/>
  </mergeCells>
  <printOptions horizontalCentered="1"/>
  <pageMargins left="0.75" right="0.75" top="1" bottom="1"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indexed="11"/>
  </sheetPr>
  <dimension ref="A1:J23"/>
  <sheetViews>
    <sheetView zoomScalePageLayoutView="0" workbookViewId="0" topLeftCell="A7">
      <selection activeCell="G6" sqref="G6"/>
    </sheetView>
  </sheetViews>
  <sheetFormatPr defaultColWidth="9.140625" defaultRowHeight="12.75"/>
  <cols>
    <col min="2" max="2" width="7.421875" style="0" customWidth="1"/>
    <col min="3" max="3" width="14.00390625" style="0" customWidth="1"/>
    <col min="4" max="4" width="6.28125" style="0" customWidth="1"/>
    <col min="7" max="7" width="22.8515625" style="0" customWidth="1"/>
    <col min="8" max="8" width="7.421875" style="0" customWidth="1"/>
    <col min="10" max="10" width="7.421875" style="0" customWidth="1"/>
  </cols>
  <sheetData>
    <row r="1" spans="1:10" ht="48.75" customHeight="1">
      <c r="A1" s="237" t="s">
        <v>328</v>
      </c>
      <c r="B1" s="237"/>
      <c r="C1" s="237"/>
      <c r="D1" s="237"/>
      <c r="E1" s="237"/>
      <c r="F1" s="237"/>
      <c r="G1" s="237"/>
      <c r="H1" s="237"/>
      <c r="I1" s="237"/>
      <c r="J1" s="237"/>
    </row>
    <row r="2" spans="1:6" ht="13.5">
      <c r="A2" s="2"/>
      <c r="B2" s="9"/>
      <c r="C2" s="10" t="s">
        <v>257</v>
      </c>
      <c r="D2" s="10" t="s">
        <v>258</v>
      </c>
      <c r="E2" s="222">
        <v>500</v>
      </c>
      <c r="F2" s="9" t="s">
        <v>259</v>
      </c>
    </row>
    <row r="3" spans="1:6" ht="13.5">
      <c r="A3" s="16"/>
      <c r="B3" s="9"/>
      <c r="C3" s="10" t="s">
        <v>260</v>
      </c>
      <c r="D3" s="10" t="s">
        <v>261</v>
      </c>
      <c r="E3" s="216">
        <v>1.2</v>
      </c>
      <c r="F3" s="9"/>
    </row>
    <row r="4" spans="1:6" ht="13.5">
      <c r="A4" s="16"/>
      <c r="B4" s="9"/>
      <c r="C4" s="10" t="s">
        <v>262</v>
      </c>
      <c r="D4" s="10" t="s">
        <v>263</v>
      </c>
      <c r="E4" s="223">
        <v>6</v>
      </c>
      <c r="F4" s="9" t="s">
        <v>2</v>
      </c>
    </row>
    <row r="5" spans="1:10" ht="13.5">
      <c r="A5" s="16"/>
      <c r="B5" s="9"/>
      <c r="C5" s="10" t="s">
        <v>264</v>
      </c>
      <c r="D5" s="10" t="s">
        <v>265</v>
      </c>
      <c r="E5" s="223">
        <v>3</v>
      </c>
      <c r="F5" s="9" t="s">
        <v>2</v>
      </c>
      <c r="G5" s="10"/>
      <c r="H5" s="10"/>
      <c r="I5" s="53"/>
      <c r="J5" s="9"/>
    </row>
    <row r="6" spans="1:10" ht="23.25" customHeight="1">
      <c r="A6" s="248" t="s">
        <v>266</v>
      </c>
      <c r="B6" s="248"/>
      <c r="C6" s="248"/>
      <c r="D6" s="94" t="s">
        <v>267</v>
      </c>
      <c r="E6" s="208">
        <v>4</v>
      </c>
      <c r="F6" s="95" t="s">
        <v>2</v>
      </c>
      <c r="G6" s="96" t="s">
        <v>268</v>
      </c>
      <c r="H6" s="10"/>
      <c r="I6" s="53"/>
      <c r="J6" s="9"/>
    </row>
    <row r="7" spans="1:10" ht="13.5">
      <c r="A7" s="16"/>
      <c r="B7" s="9"/>
      <c r="C7" s="10" t="s">
        <v>269</v>
      </c>
      <c r="D7" s="10" t="s">
        <v>270</v>
      </c>
      <c r="E7" s="223">
        <v>2</v>
      </c>
      <c r="F7" s="9" t="s">
        <v>2</v>
      </c>
      <c r="G7" s="10"/>
      <c r="H7" s="10"/>
      <c r="I7" s="53"/>
      <c r="J7" s="9"/>
    </row>
    <row r="8" spans="1:10" ht="16.5" customHeight="1">
      <c r="A8" s="16"/>
      <c r="B8" s="9"/>
      <c r="C8" s="11" t="s">
        <v>271</v>
      </c>
      <c r="D8" s="11" t="s">
        <v>206</v>
      </c>
      <c r="E8" s="224">
        <v>10</v>
      </c>
      <c r="F8" s="12" t="s">
        <v>207</v>
      </c>
      <c r="G8" s="10"/>
      <c r="H8" s="10"/>
      <c r="I8" s="53"/>
      <c r="J8" s="9"/>
    </row>
    <row r="9" spans="1:3" ht="12.75">
      <c r="A9" s="97"/>
      <c r="B9" s="97"/>
      <c r="C9" s="97"/>
    </row>
    <row r="10" spans="1:9" ht="15">
      <c r="A10" s="249" t="s">
        <v>272</v>
      </c>
      <c r="B10" s="250"/>
      <c r="C10" s="250"/>
      <c r="D10" s="250"/>
      <c r="E10" s="250"/>
      <c r="F10" s="250"/>
      <c r="G10" s="250"/>
      <c r="H10" s="250"/>
      <c r="I10" s="251"/>
    </row>
    <row r="11" spans="1:9" ht="12.75">
      <c r="A11" s="98"/>
      <c r="B11" s="2"/>
      <c r="C11" s="2"/>
      <c r="D11" s="2"/>
      <c r="E11" s="2"/>
      <c r="F11" s="2"/>
      <c r="G11" s="2"/>
      <c r="H11" s="2"/>
      <c r="I11" s="99" t="s">
        <v>273</v>
      </c>
    </row>
    <row r="12" spans="1:9" ht="12.75">
      <c r="A12" s="98"/>
      <c r="B12" s="2"/>
      <c r="C12" s="2"/>
      <c r="D12" s="2"/>
      <c r="E12" s="2"/>
      <c r="F12" s="2"/>
      <c r="G12" s="2"/>
      <c r="H12" s="2"/>
      <c r="I12" s="99" t="s">
        <v>274</v>
      </c>
    </row>
    <row r="13" spans="1:9" ht="12.75">
      <c r="A13" s="98"/>
      <c r="B13" s="2"/>
      <c r="C13" s="2"/>
      <c r="D13" s="2"/>
      <c r="E13" s="2"/>
      <c r="F13" s="2"/>
      <c r="G13" s="2"/>
      <c r="H13" s="2"/>
      <c r="I13" s="100"/>
    </row>
    <row r="14" spans="1:9" ht="15.75">
      <c r="A14" s="101" t="s">
        <v>275</v>
      </c>
      <c r="B14" s="102">
        <f>CDRW*LRW*DRW*(V^2/2)*1.94</f>
        <v>2095.2</v>
      </c>
      <c r="C14" s="103" t="s">
        <v>14</v>
      </c>
      <c r="D14" s="103"/>
      <c r="E14" s="103"/>
      <c r="F14" s="103"/>
      <c r="G14" s="103"/>
      <c r="H14" s="103"/>
      <c r="I14" s="104"/>
    </row>
    <row r="17" spans="1:9" ht="15">
      <c r="A17" s="249" t="s">
        <v>276</v>
      </c>
      <c r="B17" s="250"/>
      <c r="C17" s="250"/>
      <c r="D17" s="250"/>
      <c r="E17" s="250"/>
      <c r="F17" s="250"/>
      <c r="G17" s="250"/>
      <c r="H17" s="250"/>
      <c r="I17" s="251"/>
    </row>
    <row r="18" spans="1:9" ht="12.75">
      <c r="A18" s="98"/>
      <c r="B18" s="2"/>
      <c r="C18" s="2"/>
      <c r="D18" s="2"/>
      <c r="E18" s="2"/>
      <c r="F18" s="2"/>
      <c r="G18" s="2"/>
      <c r="H18" s="2"/>
      <c r="I18" s="100"/>
    </row>
    <row r="19" spans="1:9" ht="12.75">
      <c r="A19" s="98"/>
      <c r="B19" s="2"/>
      <c r="C19" s="2"/>
      <c r="D19" s="2"/>
      <c r="E19" s="2"/>
      <c r="F19" s="2"/>
      <c r="G19" s="2"/>
      <c r="H19" s="2"/>
      <c r="I19" s="100"/>
    </row>
    <row r="20" spans="1:9" ht="12.75">
      <c r="A20" s="98"/>
      <c r="B20" s="2"/>
      <c r="C20" s="2"/>
      <c r="D20" s="2"/>
      <c r="E20" s="2"/>
      <c r="F20" s="2"/>
      <c r="G20" s="2"/>
      <c r="H20" s="2"/>
      <c r="I20" s="100"/>
    </row>
    <row r="21" spans="1:9" ht="12.75">
      <c r="A21" s="98"/>
      <c r="B21" s="2"/>
      <c r="C21" s="2"/>
      <c r="D21" s="2"/>
      <c r="E21" s="2"/>
      <c r="F21" s="2"/>
      <c r="G21" s="2"/>
      <c r="H21" s="2"/>
      <c r="I21" s="100"/>
    </row>
    <row r="22" spans="1:9" ht="12.75">
      <c r="A22" s="105" t="s">
        <v>277</v>
      </c>
      <c r="B22" s="15">
        <f>+((1.18*B14)/(E7*E2))*(1+((1+(1.88*E7*E2*E6)/B14)^0.5))</f>
        <v>7.768652269492977</v>
      </c>
      <c r="C22" s="106" t="s">
        <v>278</v>
      </c>
      <c r="D22" s="2"/>
      <c r="E22" s="2"/>
      <c r="F22" s="2"/>
      <c r="G22" s="2"/>
      <c r="H22" s="2"/>
      <c r="I22" s="100"/>
    </row>
    <row r="23" spans="1:9" ht="12.75">
      <c r="A23" s="107"/>
      <c r="B23" s="103"/>
      <c r="C23" s="103"/>
      <c r="D23" s="103"/>
      <c r="E23" s="103"/>
      <c r="F23" s="103"/>
      <c r="G23" s="103"/>
      <c r="H23" s="103"/>
      <c r="I23" s="104"/>
    </row>
  </sheetData>
  <sheetProtection password="C974" sheet="1" objects="1" scenarios="1"/>
  <mergeCells count="4">
    <mergeCell ref="A1:J1"/>
    <mergeCell ref="A6:C6"/>
    <mergeCell ref="A10:I10"/>
    <mergeCell ref="A17:I17"/>
  </mergeCells>
  <printOptions/>
  <pageMargins left="0.75" right="0.75" top="1" bottom="1" header="0.5" footer="0.5"/>
  <pageSetup horizontalDpi="600" verticalDpi="600" orientation="portrait" r:id="rId5"/>
  <drawing r:id="rId4"/>
  <legacyDrawing r:id="rId3"/>
  <oleObjects>
    <oleObject progId="Equation.3" shapeId="303120" r:id="rId1"/>
    <oleObject progId="Equation.3" shapeId="303119" r:id="rId2"/>
  </oleObjects>
</worksheet>
</file>

<file path=xl/worksheets/sheet7.xml><?xml version="1.0" encoding="utf-8"?>
<worksheet xmlns="http://schemas.openxmlformats.org/spreadsheetml/2006/main" xmlns:r="http://schemas.openxmlformats.org/officeDocument/2006/relationships">
  <sheetPr>
    <tabColor theme="8" tint="0.39998000860214233"/>
  </sheetPr>
  <dimension ref="A1:Y15"/>
  <sheetViews>
    <sheetView zoomScalePageLayoutView="0" workbookViewId="0" topLeftCell="A1">
      <selection activeCell="F12" sqref="F12"/>
    </sheetView>
  </sheetViews>
  <sheetFormatPr defaultColWidth="9.140625" defaultRowHeight="12.75"/>
  <cols>
    <col min="1" max="1" width="16.140625" style="0" customWidth="1"/>
    <col min="3" max="3" width="11.28125" style="0" customWidth="1"/>
  </cols>
  <sheetData>
    <row r="1" spans="1:10" ht="46.5" customHeight="1">
      <c r="A1" s="237" t="s">
        <v>341</v>
      </c>
      <c r="B1" s="252"/>
      <c r="C1" s="252"/>
      <c r="D1" s="252"/>
      <c r="E1" s="252"/>
      <c r="F1" s="252"/>
      <c r="G1" s="252"/>
      <c r="H1" s="252"/>
      <c r="I1" s="252"/>
      <c r="J1" s="252"/>
    </row>
    <row r="2" spans="1:6" ht="12.75">
      <c r="A2" s="2"/>
      <c r="B2" s="9"/>
      <c r="C2" s="10" t="s">
        <v>331</v>
      </c>
      <c r="D2" s="10" t="s">
        <v>332</v>
      </c>
      <c r="E2" s="216">
        <v>4</v>
      </c>
      <c r="F2" s="9" t="s">
        <v>207</v>
      </c>
    </row>
    <row r="3" spans="1:6" ht="12.75">
      <c r="A3" s="16"/>
      <c r="B3" s="9"/>
      <c r="C3" s="10" t="s">
        <v>333</v>
      </c>
      <c r="D3" s="10" t="s">
        <v>334</v>
      </c>
      <c r="E3" s="216">
        <v>100</v>
      </c>
      <c r="F3" s="9" t="s">
        <v>207</v>
      </c>
    </row>
    <row r="4" spans="1:6" ht="13.5">
      <c r="A4" s="16"/>
      <c r="B4" s="9"/>
      <c r="C4" s="10" t="s">
        <v>335</v>
      </c>
      <c r="D4" s="10" t="s">
        <v>336</v>
      </c>
      <c r="E4" s="222">
        <v>275</v>
      </c>
      <c r="F4" s="9" t="s">
        <v>207</v>
      </c>
    </row>
    <row r="5" spans="1:9" ht="13.5">
      <c r="A5" s="16"/>
      <c r="B5" s="9"/>
      <c r="C5" s="10" t="s">
        <v>337</v>
      </c>
      <c r="D5" s="10" t="s">
        <v>338</v>
      </c>
      <c r="E5" s="58">
        <v>32.2</v>
      </c>
      <c r="F5" s="9" t="s">
        <v>339</v>
      </c>
      <c r="G5" s="10"/>
      <c r="H5" s="10"/>
      <c r="I5" s="53"/>
    </row>
    <row r="6" spans="16:25" ht="12.75">
      <c r="P6" s="178"/>
      <c r="Q6" s="178"/>
      <c r="R6" s="178"/>
      <c r="S6" s="178"/>
      <c r="T6" s="178"/>
      <c r="U6" s="178"/>
      <c r="V6" s="178"/>
      <c r="W6" s="178"/>
      <c r="X6" s="178"/>
      <c r="Y6" s="178"/>
    </row>
    <row r="7" spans="1:25" ht="15">
      <c r="A7" s="249" t="s">
        <v>344</v>
      </c>
      <c r="B7" s="250"/>
      <c r="C7" s="250"/>
      <c r="D7" s="250"/>
      <c r="E7" s="250"/>
      <c r="F7" s="250"/>
      <c r="G7" s="250"/>
      <c r="H7" s="250"/>
      <c r="I7" s="251"/>
      <c r="P7" s="178"/>
      <c r="Q7" s="178"/>
      <c r="R7" s="178"/>
      <c r="S7" s="178"/>
      <c r="T7" s="178"/>
      <c r="U7" s="178"/>
      <c r="V7" s="178"/>
      <c r="W7" s="178"/>
      <c r="X7" s="178"/>
      <c r="Y7" s="178"/>
    </row>
    <row r="8" spans="1:9" ht="12.75">
      <c r="A8" s="98"/>
      <c r="B8" s="2"/>
      <c r="C8" s="2"/>
      <c r="D8" s="2"/>
      <c r="E8" s="2"/>
      <c r="F8" s="2"/>
      <c r="G8" s="2"/>
      <c r="H8" s="2"/>
      <c r="I8" s="99"/>
    </row>
    <row r="9" spans="1:10" ht="12" customHeight="1">
      <c r="A9" s="98"/>
      <c r="B9" s="2"/>
      <c r="C9" s="2"/>
      <c r="D9" s="2"/>
      <c r="E9" s="2"/>
      <c r="G9" s="182"/>
      <c r="H9" s="182"/>
      <c r="I9" s="183"/>
      <c r="J9" s="98"/>
    </row>
    <row r="10" spans="1:10" ht="12" customHeight="1">
      <c r="A10" s="98"/>
      <c r="B10" s="2"/>
      <c r="C10" s="2"/>
      <c r="D10" s="2"/>
      <c r="E10" s="2"/>
      <c r="F10" s="182"/>
      <c r="G10" s="182"/>
      <c r="H10" s="182"/>
      <c r="I10" s="183"/>
      <c r="J10" s="98"/>
    </row>
    <row r="11" spans="1:9" ht="12" customHeight="1">
      <c r="A11" s="179" t="s">
        <v>342</v>
      </c>
      <c r="B11" s="181">
        <f>(E3*E2^2)/(E5*E4)</f>
        <v>0.18068887634105024</v>
      </c>
      <c r="C11" s="180" t="s">
        <v>343</v>
      </c>
      <c r="D11" s="103"/>
      <c r="E11" s="103"/>
      <c r="F11" s="103"/>
      <c r="G11" s="103"/>
      <c r="H11" s="103"/>
      <c r="I11" s="104"/>
    </row>
    <row r="12" ht="12" customHeight="1">
      <c r="J12" s="9"/>
    </row>
    <row r="13" ht="12" customHeight="1">
      <c r="J13" s="9"/>
    </row>
    <row r="14" ht="12" customHeight="1">
      <c r="J14" s="9"/>
    </row>
    <row r="15" spans="1:10" ht="12" customHeight="1">
      <c r="A15" s="85" t="s">
        <v>340</v>
      </c>
      <c r="J15" s="9"/>
    </row>
  </sheetData>
  <sheetProtection password="C974" sheet="1" objects="1" scenarios="1"/>
  <mergeCells count="2">
    <mergeCell ref="A1:J1"/>
    <mergeCell ref="A7:I7"/>
  </mergeCells>
  <printOptions/>
  <pageMargins left="0.7" right="0.7" top="0.75" bottom="0.75" header="0.3" footer="0.3"/>
  <pageSetup horizontalDpi="600" verticalDpi="600" orientation="portrait" r:id="rId3"/>
  <legacyDrawing r:id="rId2"/>
  <oleObjects>
    <oleObject progId="Equation.3" shapeId="303118" r:id="rId1"/>
  </oleObjects>
</worksheet>
</file>

<file path=xl/worksheets/sheet8.xml><?xml version="1.0" encoding="utf-8"?>
<worksheet xmlns="http://schemas.openxmlformats.org/spreadsheetml/2006/main" xmlns:r="http://schemas.openxmlformats.org/officeDocument/2006/relationships">
  <sheetPr>
    <tabColor indexed="50"/>
  </sheetPr>
  <dimension ref="A1:M130"/>
  <sheetViews>
    <sheetView zoomScalePageLayoutView="0" workbookViewId="0" topLeftCell="A1">
      <selection activeCell="B2" sqref="B2"/>
    </sheetView>
  </sheetViews>
  <sheetFormatPr defaultColWidth="9.140625" defaultRowHeight="12.75"/>
  <cols>
    <col min="1" max="1" width="4.421875" style="0" customWidth="1"/>
    <col min="2" max="2" width="19.8515625" style="0" customWidth="1"/>
    <col min="6" max="6" width="11.7109375" style="0" customWidth="1"/>
    <col min="7" max="7" width="13.421875" style="0" customWidth="1"/>
    <col min="8" max="8" width="13.8515625" style="0" customWidth="1"/>
    <col min="9" max="10" width="10.8515625" style="0" customWidth="1"/>
  </cols>
  <sheetData>
    <row r="1" spans="1:12" ht="12.75">
      <c r="A1" s="43"/>
      <c r="B1" s="26"/>
      <c r="C1" s="253" t="s">
        <v>35</v>
      </c>
      <c r="D1" s="255" t="s">
        <v>36</v>
      </c>
      <c r="E1" s="255"/>
      <c r="F1" s="256"/>
      <c r="G1" s="23" t="s">
        <v>37</v>
      </c>
      <c r="H1" s="257" t="s">
        <v>38</v>
      </c>
      <c r="I1" s="28" t="s">
        <v>39</v>
      </c>
      <c r="J1" s="27"/>
      <c r="K1" s="29" t="s">
        <v>40</v>
      </c>
      <c r="L1" s="29" t="s">
        <v>41</v>
      </c>
    </row>
    <row r="2" spans="1:12" ht="25.5">
      <c r="A2" s="43"/>
      <c r="B2" s="26"/>
      <c r="C2" s="254"/>
      <c r="D2" s="259" t="s">
        <v>185</v>
      </c>
      <c r="E2" s="259"/>
      <c r="F2" s="260"/>
      <c r="G2" s="23" t="s">
        <v>42</v>
      </c>
      <c r="H2" s="258"/>
      <c r="I2" s="24" t="s">
        <v>43</v>
      </c>
      <c r="J2" s="25" t="s">
        <v>44</v>
      </c>
      <c r="K2" s="30"/>
      <c r="L2" s="30"/>
    </row>
    <row r="3" spans="1:12" ht="13.5">
      <c r="A3" s="43"/>
      <c r="B3" s="31" t="s">
        <v>45</v>
      </c>
      <c r="C3" s="254"/>
      <c r="D3" s="32" t="s">
        <v>46</v>
      </c>
      <c r="E3" s="32" t="s">
        <v>47</v>
      </c>
      <c r="F3" s="32" t="s">
        <v>48</v>
      </c>
      <c r="G3" s="33" t="s">
        <v>49</v>
      </c>
      <c r="H3" s="258"/>
      <c r="I3" s="24" t="s">
        <v>50</v>
      </c>
      <c r="J3" s="24" t="s">
        <v>50</v>
      </c>
      <c r="K3" s="32" t="s">
        <v>51</v>
      </c>
      <c r="L3" s="32" t="s">
        <v>52</v>
      </c>
    </row>
    <row r="4" spans="1:12" ht="22.5">
      <c r="A4" s="21">
        <v>1</v>
      </c>
      <c r="B4" s="34" t="s">
        <v>53</v>
      </c>
      <c r="C4" s="35">
        <v>6.8</v>
      </c>
      <c r="D4" s="35">
        <v>86</v>
      </c>
      <c r="E4" s="35">
        <v>210</v>
      </c>
      <c r="F4" s="36">
        <v>127</v>
      </c>
      <c r="G4" s="37" t="s">
        <v>54</v>
      </c>
      <c r="H4" s="37" t="s">
        <v>55</v>
      </c>
      <c r="I4" s="38">
        <v>50</v>
      </c>
      <c r="J4" s="38">
        <v>28</v>
      </c>
      <c r="K4" s="35">
        <v>0.38</v>
      </c>
      <c r="L4" s="35">
        <v>0.4</v>
      </c>
    </row>
    <row r="5" spans="1:12" ht="22.5">
      <c r="A5" s="21">
        <f>A4+1</f>
        <v>2</v>
      </c>
      <c r="B5" s="39" t="s">
        <v>56</v>
      </c>
      <c r="C5" s="35"/>
      <c r="D5" s="35"/>
      <c r="E5" s="35"/>
      <c r="F5" s="2"/>
      <c r="G5" s="37" t="s">
        <v>57</v>
      </c>
      <c r="H5" s="40" t="s">
        <v>37</v>
      </c>
      <c r="I5" s="38"/>
      <c r="J5" s="38"/>
      <c r="K5" s="35"/>
      <c r="L5" s="35"/>
    </row>
    <row r="6" spans="1:12" ht="12.75">
      <c r="A6" s="21">
        <f aca="true" t="shared" si="0" ref="A6:A69">A5+1</f>
        <v>3</v>
      </c>
      <c r="B6" s="34" t="s">
        <v>58</v>
      </c>
      <c r="C6" s="35">
        <v>9.2</v>
      </c>
      <c r="D6" s="35">
        <v>32</v>
      </c>
      <c r="E6" s="35">
        <v>166</v>
      </c>
      <c r="F6" s="36" t="s">
        <v>59</v>
      </c>
      <c r="G6" s="37" t="s">
        <v>60</v>
      </c>
      <c r="H6" s="37" t="s">
        <v>61</v>
      </c>
      <c r="I6" s="38">
        <v>36</v>
      </c>
      <c r="J6" s="38">
        <v>31</v>
      </c>
      <c r="K6" s="35">
        <v>0.42</v>
      </c>
      <c r="L6" s="35">
        <v>0.44</v>
      </c>
    </row>
    <row r="7" spans="1:12" ht="12.75">
      <c r="A7" s="21">
        <f t="shared" si="0"/>
        <v>4</v>
      </c>
      <c r="B7" s="34" t="s">
        <v>62</v>
      </c>
      <c r="C7" s="35">
        <v>7.7</v>
      </c>
      <c r="D7" s="35">
        <v>40</v>
      </c>
      <c r="E7" s="35">
        <v>213</v>
      </c>
      <c r="F7" s="36" t="s">
        <v>59</v>
      </c>
      <c r="G7" s="37"/>
      <c r="H7" s="37" t="s">
        <v>63</v>
      </c>
      <c r="I7" s="38">
        <v>45</v>
      </c>
      <c r="J7" s="38">
        <v>24</v>
      </c>
      <c r="K7" s="35">
        <v>0.35</v>
      </c>
      <c r="L7" s="35">
        <v>0.37</v>
      </c>
    </row>
    <row r="8" spans="1:12" ht="22.5">
      <c r="A8" s="21">
        <f t="shared" si="0"/>
        <v>5</v>
      </c>
      <c r="B8" s="34" t="s">
        <v>64</v>
      </c>
      <c r="C8" s="35">
        <v>7.2</v>
      </c>
      <c r="D8" s="35">
        <v>32</v>
      </c>
      <c r="E8" s="35">
        <v>240</v>
      </c>
      <c r="F8" s="36">
        <v>93</v>
      </c>
      <c r="G8" s="37" t="s">
        <v>65</v>
      </c>
      <c r="H8" s="37" t="s">
        <v>66</v>
      </c>
      <c r="I8" s="38">
        <v>28</v>
      </c>
      <c r="J8" s="38">
        <v>22</v>
      </c>
      <c r="K8" s="35">
        <v>0.29</v>
      </c>
      <c r="L8" s="35">
        <v>0.31</v>
      </c>
    </row>
    <row r="9" spans="1:12" ht="22.5">
      <c r="A9" s="21">
        <f t="shared" si="0"/>
        <v>6</v>
      </c>
      <c r="B9" s="34" t="s">
        <v>67</v>
      </c>
      <c r="C9" s="35">
        <v>10.1</v>
      </c>
      <c r="D9" s="35">
        <v>50</v>
      </c>
      <c r="E9" s="35">
        <v>98</v>
      </c>
      <c r="F9" s="36" t="s">
        <v>59</v>
      </c>
      <c r="G9" s="37" t="s">
        <v>68</v>
      </c>
      <c r="H9" s="37" t="s">
        <v>69</v>
      </c>
      <c r="I9" s="38">
        <v>36</v>
      </c>
      <c r="J9" s="38">
        <v>29</v>
      </c>
      <c r="K9" s="35">
        <v>0.39</v>
      </c>
      <c r="L9" s="35">
        <v>0.43</v>
      </c>
    </row>
    <row r="10" spans="1:12" ht="22.5">
      <c r="A10" s="21">
        <f t="shared" si="0"/>
        <v>7</v>
      </c>
      <c r="B10" s="34" t="s">
        <v>70</v>
      </c>
      <c r="C10" s="35">
        <v>6.8</v>
      </c>
      <c r="D10" s="35">
        <v>58</v>
      </c>
      <c r="E10" s="35">
        <v>249</v>
      </c>
      <c r="F10" s="36">
        <v>62</v>
      </c>
      <c r="G10" s="37" t="s">
        <v>71</v>
      </c>
      <c r="H10" s="37" t="s">
        <v>63</v>
      </c>
      <c r="I10" s="38">
        <v>27</v>
      </c>
      <c r="J10" s="38">
        <v>23</v>
      </c>
      <c r="K10" s="35">
        <v>0.31</v>
      </c>
      <c r="L10" s="35">
        <v>0.32</v>
      </c>
    </row>
    <row r="11" spans="1:12" ht="22.5">
      <c r="A11" s="21">
        <f t="shared" si="0"/>
        <v>8</v>
      </c>
      <c r="B11" s="39" t="s">
        <v>72</v>
      </c>
      <c r="C11" s="35"/>
      <c r="D11" s="35"/>
      <c r="E11" s="35"/>
      <c r="F11" s="2"/>
      <c r="G11" s="37" t="s">
        <v>73</v>
      </c>
      <c r="H11" s="37" t="s">
        <v>74</v>
      </c>
      <c r="I11" s="38"/>
      <c r="J11" s="38"/>
      <c r="K11" s="35"/>
      <c r="L11" s="35"/>
    </row>
    <row r="12" spans="1:12" ht="33.75">
      <c r="A12" s="21">
        <f t="shared" si="0"/>
        <v>9</v>
      </c>
      <c r="B12" s="44" t="s">
        <v>75</v>
      </c>
      <c r="C12" s="35">
        <v>12.4</v>
      </c>
      <c r="D12" s="35">
        <v>37</v>
      </c>
      <c r="E12" s="35">
        <v>115</v>
      </c>
      <c r="F12" s="36">
        <v>45</v>
      </c>
      <c r="G12" s="37" t="s">
        <v>76</v>
      </c>
      <c r="H12" s="37" t="s">
        <v>37</v>
      </c>
      <c r="I12" s="38">
        <v>38</v>
      </c>
      <c r="J12" s="38">
        <v>34</v>
      </c>
      <c r="K12" s="35">
        <v>0.45</v>
      </c>
      <c r="L12" s="35">
        <v>0.48</v>
      </c>
    </row>
    <row r="13" spans="1:12" ht="12.75">
      <c r="A13" s="21">
        <f t="shared" si="0"/>
        <v>10</v>
      </c>
      <c r="B13" s="44" t="s">
        <v>77</v>
      </c>
      <c r="C13" s="35">
        <v>10.7</v>
      </c>
      <c r="D13" s="35">
        <v>30</v>
      </c>
      <c r="E13" s="35">
        <v>112</v>
      </c>
      <c r="F13" s="36">
        <v>43</v>
      </c>
      <c r="G13" s="37"/>
      <c r="H13" s="37"/>
      <c r="I13" s="38">
        <v>35</v>
      </c>
      <c r="J13" s="38">
        <v>30</v>
      </c>
      <c r="K13" s="35">
        <v>0.45</v>
      </c>
      <c r="L13" s="35">
        <v>0.48</v>
      </c>
    </row>
    <row r="14" spans="1:12" ht="12.75">
      <c r="A14" s="21">
        <f t="shared" si="0"/>
        <v>11</v>
      </c>
      <c r="B14" s="44" t="s">
        <v>78</v>
      </c>
      <c r="C14" s="35" t="s">
        <v>59</v>
      </c>
      <c r="D14" s="35" t="s">
        <v>59</v>
      </c>
      <c r="E14" s="35" t="s">
        <v>59</v>
      </c>
      <c r="F14" s="36" t="s">
        <v>59</v>
      </c>
      <c r="G14" s="37"/>
      <c r="H14" s="37"/>
      <c r="I14" s="38"/>
      <c r="J14" s="38"/>
      <c r="K14" s="35"/>
      <c r="L14" s="35"/>
    </row>
    <row r="15" spans="1:12" ht="12.75">
      <c r="A15" s="21">
        <f t="shared" si="0"/>
        <v>12</v>
      </c>
      <c r="B15" s="44" t="s">
        <v>79</v>
      </c>
      <c r="C15" s="35">
        <v>11.8</v>
      </c>
      <c r="D15" s="35" t="s">
        <v>59</v>
      </c>
      <c r="E15" s="35" t="s">
        <v>59</v>
      </c>
      <c r="F15" s="36" t="s">
        <v>59</v>
      </c>
      <c r="G15" s="37"/>
      <c r="H15" s="37"/>
      <c r="I15" s="38">
        <v>38</v>
      </c>
      <c r="J15" s="38">
        <v>31</v>
      </c>
      <c r="K15" s="35">
        <v>0.46</v>
      </c>
      <c r="L15" s="35">
        <v>0.5</v>
      </c>
    </row>
    <row r="16" spans="1:12" ht="12.75">
      <c r="A16" s="21">
        <f t="shared" si="0"/>
        <v>13</v>
      </c>
      <c r="B16" s="41" t="s">
        <v>80</v>
      </c>
      <c r="C16" s="35"/>
      <c r="D16" s="35"/>
      <c r="E16" s="35"/>
      <c r="F16" s="2"/>
      <c r="G16" s="37" t="s">
        <v>81</v>
      </c>
      <c r="H16" s="42" t="s">
        <v>37</v>
      </c>
      <c r="I16" s="38"/>
      <c r="J16" s="38"/>
      <c r="K16" s="35"/>
      <c r="L16" s="35"/>
    </row>
    <row r="17" spans="1:12" ht="12.75">
      <c r="A17" s="21">
        <f t="shared" si="0"/>
        <v>14</v>
      </c>
      <c r="B17" s="34" t="s">
        <v>82</v>
      </c>
      <c r="C17" s="35">
        <v>11.2</v>
      </c>
      <c r="D17" s="35">
        <v>88</v>
      </c>
      <c r="E17" s="35">
        <v>173</v>
      </c>
      <c r="F17" s="36">
        <v>117</v>
      </c>
      <c r="G17" s="37"/>
      <c r="H17" s="37" t="s">
        <v>83</v>
      </c>
      <c r="I17" s="38">
        <v>45</v>
      </c>
      <c r="J17" s="38">
        <v>25</v>
      </c>
      <c r="K17" s="35">
        <v>0.33</v>
      </c>
      <c r="L17" s="35">
        <v>0.35</v>
      </c>
    </row>
    <row r="18" spans="1:12" ht="12.75">
      <c r="A18" s="21">
        <f t="shared" si="0"/>
        <v>15</v>
      </c>
      <c r="B18" s="34" t="s">
        <v>84</v>
      </c>
      <c r="C18" s="35">
        <v>11.4</v>
      </c>
      <c r="D18" s="35" t="s">
        <v>59</v>
      </c>
      <c r="E18" s="35" t="s">
        <v>59</v>
      </c>
      <c r="F18" s="36">
        <v>108</v>
      </c>
      <c r="G18" s="37"/>
      <c r="H18" s="37"/>
      <c r="I18" s="38">
        <v>48</v>
      </c>
      <c r="J18" s="38">
        <v>27</v>
      </c>
      <c r="K18" s="35">
        <v>0.36</v>
      </c>
      <c r="L18" s="35">
        <v>0.38</v>
      </c>
    </row>
    <row r="19" spans="1:12" ht="12.75">
      <c r="A19" s="21">
        <f t="shared" si="0"/>
        <v>16</v>
      </c>
      <c r="B19" s="34" t="s">
        <v>85</v>
      </c>
      <c r="C19" s="35">
        <v>11</v>
      </c>
      <c r="D19" s="35">
        <v>91</v>
      </c>
      <c r="E19" s="35">
        <v>136</v>
      </c>
      <c r="F19" s="36" t="s">
        <v>59</v>
      </c>
      <c r="G19" s="37"/>
      <c r="H19" s="37"/>
      <c r="I19" s="38">
        <v>45</v>
      </c>
      <c r="J19" s="38">
        <v>28</v>
      </c>
      <c r="K19" s="35">
        <v>0.35</v>
      </c>
      <c r="L19" s="35">
        <v>0.37</v>
      </c>
    </row>
    <row r="20" spans="1:12" ht="12.75">
      <c r="A20" s="21">
        <f t="shared" si="0"/>
        <v>17</v>
      </c>
      <c r="B20" s="34" t="s">
        <v>86</v>
      </c>
      <c r="C20" s="35">
        <v>12.4</v>
      </c>
      <c r="D20" s="35">
        <v>34</v>
      </c>
      <c r="E20" s="35">
        <v>115</v>
      </c>
      <c r="F20" s="36" t="s">
        <v>59</v>
      </c>
      <c r="G20" s="37"/>
      <c r="H20" s="37"/>
      <c r="I20" s="38">
        <v>30</v>
      </c>
      <c r="J20" s="38">
        <v>26</v>
      </c>
      <c r="K20" s="35">
        <v>0.37</v>
      </c>
      <c r="L20" s="35">
        <v>0.39</v>
      </c>
    </row>
    <row r="21" spans="1:12" ht="12.75">
      <c r="A21" s="21">
        <f t="shared" si="0"/>
        <v>18</v>
      </c>
      <c r="B21" s="34" t="s">
        <v>87</v>
      </c>
      <c r="C21" s="35">
        <v>13</v>
      </c>
      <c r="D21" s="35">
        <v>55</v>
      </c>
      <c r="E21" s="35">
        <v>164</v>
      </c>
      <c r="F21" s="36" t="s">
        <v>59</v>
      </c>
      <c r="G21" s="37"/>
      <c r="H21" s="37"/>
      <c r="I21" s="38">
        <v>36</v>
      </c>
      <c r="J21" s="38">
        <v>27</v>
      </c>
      <c r="K21" s="35">
        <v>0.4</v>
      </c>
      <c r="L21" s="35">
        <v>0.43</v>
      </c>
    </row>
    <row r="22" spans="1:12" ht="12.75">
      <c r="A22" s="21">
        <f t="shared" si="0"/>
        <v>19</v>
      </c>
      <c r="B22" s="34" t="s">
        <v>88</v>
      </c>
      <c r="C22" s="35">
        <v>9.4</v>
      </c>
      <c r="D22" s="35" t="s">
        <v>59</v>
      </c>
      <c r="E22" s="35" t="s">
        <v>59</v>
      </c>
      <c r="F22" s="36">
        <v>47</v>
      </c>
      <c r="G22" s="37"/>
      <c r="H22" s="37"/>
      <c r="I22" s="38">
        <v>33</v>
      </c>
      <c r="J22" s="38">
        <v>28</v>
      </c>
      <c r="K22" s="35">
        <v>0.31</v>
      </c>
      <c r="L22" s="35">
        <v>0.32</v>
      </c>
    </row>
    <row r="23" spans="1:12" ht="33.75">
      <c r="A23" s="21">
        <f t="shared" si="0"/>
        <v>20</v>
      </c>
      <c r="B23" s="34" t="s">
        <v>89</v>
      </c>
      <c r="C23" s="35">
        <v>9.8</v>
      </c>
      <c r="D23" s="35">
        <v>98</v>
      </c>
      <c r="E23" s="35">
        <v>160</v>
      </c>
      <c r="F23" s="36" t="s">
        <v>59</v>
      </c>
      <c r="G23" s="37"/>
      <c r="H23" s="37" t="s">
        <v>90</v>
      </c>
      <c r="I23" s="38">
        <v>47</v>
      </c>
      <c r="J23" s="38">
        <v>26</v>
      </c>
      <c r="K23" s="35">
        <v>0.37</v>
      </c>
      <c r="L23" s="35">
        <v>0.39</v>
      </c>
    </row>
    <row r="24" spans="1:12" ht="12.75">
      <c r="A24" s="21">
        <f t="shared" si="0"/>
        <v>21</v>
      </c>
      <c r="B24" s="39" t="s">
        <v>91</v>
      </c>
      <c r="C24" s="35"/>
      <c r="D24" s="35"/>
      <c r="E24" s="35"/>
      <c r="F24" s="36" t="s">
        <v>59</v>
      </c>
      <c r="G24" s="37"/>
      <c r="H24" s="37"/>
      <c r="I24" s="38"/>
      <c r="J24" s="38"/>
      <c r="K24" s="35"/>
      <c r="L24" s="35"/>
    </row>
    <row r="25" spans="1:12" ht="22.5">
      <c r="A25" s="21">
        <f t="shared" si="0"/>
        <v>22</v>
      </c>
      <c r="B25" s="34" t="s">
        <v>92</v>
      </c>
      <c r="C25" s="35">
        <v>9.7</v>
      </c>
      <c r="D25" s="35">
        <v>97</v>
      </c>
      <c r="E25" s="35">
        <v>119</v>
      </c>
      <c r="F25" s="36" t="s">
        <v>59</v>
      </c>
      <c r="G25" s="37"/>
      <c r="H25" s="37" t="s">
        <v>93</v>
      </c>
      <c r="I25" s="38">
        <v>50</v>
      </c>
      <c r="J25" s="38">
        <v>28</v>
      </c>
      <c r="K25" s="35">
        <v>0.38</v>
      </c>
      <c r="L25" s="35">
        <v>0.4</v>
      </c>
    </row>
    <row r="26" spans="1:12" ht="22.5">
      <c r="A26" s="21">
        <f t="shared" si="0"/>
        <v>23</v>
      </c>
      <c r="B26" s="34" t="s">
        <v>94</v>
      </c>
      <c r="C26" s="35">
        <v>12.4</v>
      </c>
      <c r="D26" s="35">
        <v>85</v>
      </c>
      <c r="E26" s="35">
        <v>170</v>
      </c>
      <c r="F26" s="20" t="s">
        <v>59</v>
      </c>
      <c r="G26" s="37" t="s">
        <v>95</v>
      </c>
      <c r="H26" s="37" t="s">
        <v>93</v>
      </c>
      <c r="I26" s="38">
        <v>41</v>
      </c>
      <c r="J26" s="38">
        <v>29</v>
      </c>
      <c r="K26" s="35">
        <v>0.42</v>
      </c>
      <c r="L26" s="35">
        <v>0.45</v>
      </c>
    </row>
    <row r="27" spans="1:12" ht="12.75">
      <c r="A27" s="21">
        <f t="shared" si="0"/>
        <v>24</v>
      </c>
      <c r="B27" s="39" t="s">
        <v>96</v>
      </c>
      <c r="C27" s="35"/>
      <c r="D27" s="35"/>
      <c r="E27" s="35"/>
      <c r="F27" s="36"/>
      <c r="G27" s="37"/>
      <c r="H27" s="37" t="s">
        <v>37</v>
      </c>
      <c r="I27" s="38"/>
      <c r="J27" s="38"/>
      <c r="K27" s="35"/>
      <c r="L27" s="35"/>
    </row>
    <row r="28" spans="1:12" ht="22.5">
      <c r="A28" s="21">
        <f t="shared" si="0"/>
        <v>25</v>
      </c>
      <c r="B28" s="34" t="s">
        <v>97</v>
      </c>
      <c r="C28" s="35">
        <v>14</v>
      </c>
      <c r="D28" s="35">
        <v>54</v>
      </c>
      <c r="E28" s="35">
        <v>110</v>
      </c>
      <c r="F28" s="20" t="s">
        <v>59</v>
      </c>
      <c r="G28" s="37" t="s">
        <v>95</v>
      </c>
      <c r="H28" s="37" t="s">
        <v>98</v>
      </c>
      <c r="I28" s="38">
        <v>48</v>
      </c>
      <c r="J28" s="38">
        <v>36</v>
      </c>
      <c r="K28" s="35">
        <v>0.48</v>
      </c>
      <c r="L28" s="35">
        <v>0.52</v>
      </c>
    </row>
    <row r="29" spans="1:12" ht="12.75">
      <c r="A29" s="21">
        <f t="shared" si="0"/>
        <v>26</v>
      </c>
      <c r="B29" s="34" t="s">
        <v>99</v>
      </c>
      <c r="C29" s="35">
        <v>13.6</v>
      </c>
      <c r="D29" s="35">
        <v>49</v>
      </c>
      <c r="E29" s="35" t="s">
        <v>59</v>
      </c>
      <c r="F29" s="20" t="s">
        <v>59</v>
      </c>
      <c r="G29" s="37" t="s">
        <v>100</v>
      </c>
      <c r="H29" s="37" t="s">
        <v>101</v>
      </c>
      <c r="I29" s="38">
        <v>47</v>
      </c>
      <c r="J29" s="38">
        <v>37</v>
      </c>
      <c r="K29" s="35">
        <v>0.49</v>
      </c>
      <c r="L29" s="35">
        <v>0.53</v>
      </c>
    </row>
    <row r="30" spans="1:12" ht="12.75">
      <c r="A30" s="21">
        <f t="shared" si="0"/>
        <v>27</v>
      </c>
      <c r="B30" s="39" t="s">
        <v>102</v>
      </c>
      <c r="C30" s="35"/>
      <c r="D30" s="35"/>
      <c r="E30" s="35"/>
      <c r="F30" s="2"/>
      <c r="G30" s="37" t="s">
        <v>103</v>
      </c>
      <c r="H30" s="37" t="s">
        <v>37</v>
      </c>
      <c r="I30" s="38"/>
      <c r="J30" s="38"/>
      <c r="K30" s="35"/>
      <c r="L30" s="35"/>
    </row>
    <row r="31" spans="1:12" ht="22.5">
      <c r="A31" s="21">
        <f t="shared" si="0"/>
        <v>28</v>
      </c>
      <c r="B31" s="34" t="s">
        <v>104</v>
      </c>
      <c r="C31" s="35">
        <v>8.2</v>
      </c>
      <c r="D31" s="35">
        <v>50</v>
      </c>
      <c r="E31" s="35">
        <v>175</v>
      </c>
      <c r="F31" s="36">
        <v>90</v>
      </c>
      <c r="G31" s="37"/>
      <c r="H31" s="37" t="s">
        <v>105</v>
      </c>
      <c r="I31" s="38">
        <v>36</v>
      </c>
      <c r="J31" s="38">
        <v>25</v>
      </c>
      <c r="K31" s="35">
        <v>0.34</v>
      </c>
      <c r="L31" s="35">
        <v>0.35</v>
      </c>
    </row>
    <row r="32" spans="1:12" ht="22.5">
      <c r="A32" s="21">
        <f t="shared" si="0"/>
        <v>29</v>
      </c>
      <c r="B32" s="34" t="s">
        <v>106</v>
      </c>
      <c r="C32" s="35">
        <v>11.1</v>
      </c>
      <c r="D32" s="35">
        <v>41</v>
      </c>
      <c r="E32" s="35">
        <v>120</v>
      </c>
      <c r="F32" s="36" t="s">
        <v>59</v>
      </c>
      <c r="G32" s="37"/>
      <c r="H32" s="37" t="s">
        <v>93</v>
      </c>
      <c r="I32" s="38">
        <v>39</v>
      </c>
      <c r="J32" s="38">
        <v>29</v>
      </c>
      <c r="K32" s="35">
        <v>0.38</v>
      </c>
      <c r="L32" s="35">
        <v>0.41</v>
      </c>
    </row>
    <row r="33" spans="1:12" ht="33.75">
      <c r="A33" s="21">
        <f t="shared" si="0"/>
        <v>30</v>
      </c>
      <c r="B33" s="34" t="s">
        <v>107</v>
      </c>
      <c r="C33" s="35">
        <v>9.7</v>
      </c>
      <c r="D33" s="35">
        <v>40</v>
      </c>
      <c r="E33" s="35">
        <v>148</v>
      </c>
      <c r="F33" s="36" t="s">
        <v>59</v>
      </c>
      <c r="G33" s="37" t="s">
        <v>108</v>
      </c>
      <c r="H33" s="37" t="s">
        <v>109</v>
      </c>
      <c r="I33" s="38">
        <v>45</v>
      </c>
      <c r="J33" s="38">
        <v>28</v>
      </c>
      <c r="K33" s="35">
        <v>0.38</v>
      </c>
      <c r="L33" s="35">
        <v>0.4</v>
      </c>
    </row>
    <row r="34" spans="1:12" ht="22.5">
      <c r="A34" s="21">
        <f t="shared" si="0"/>
        <v>31</v>
      </c>
      <c r="B34" s="34" t="s">
        <v>110</v>
      </c>
      <c r="C34" s="35">
        <v>11.3</v>
      </c>
      <c r="D34" s="35">
        <v>32</v>
      </c>
      <c r="E34" s="35">
        <v>134</v>
      </c>
      <c r="F34" s="36" t="s">
        <v>59</v>
      </c>
      <c r="G34" s="37"/>
      <c r="H34" s="37" t="s">
        <v>109</v>
      </c>
      <c r="I34" s="38">
        <v>42</v>
      </c>
      <c r="J34" s="38">
        <v>34</v>
      </c>
      <c r="K34" s="35">
        <v>0.41</v>
      </c>
      <c r="L34" s="35">
        <v>0.46</v>
      </c>
    </row>
    <row r="35" spans="1:12" ht="22.5">
      <c r="A35" s="21">
        <f t="shared" si="0"/>
        <v>32</v>
      </c>
      <c r="B35" s="34" t="s">
        <v>111</v>
      </c>
      <c r="C35" s="35">
        <v>12.3</v>
      </c>
      <c r="D35" s="35">
        <v>33</v>
      </c>
      <c r="E35" s="35">
        <v>110</v>
      </c>
      <c r="F35" s="36" t="s">
        <v>59</v>
      </c>
      <c r="G35" s="37" t="s">
        <v>112</v>
      </c>
      <c r="H35" s="37" t="s">
        <v>109</v>
      </c>
      <c r="I35" s="38">
        <v>53</v>
      </c>
      <c r="J35" s="38">
        <v>36</v>
      </c>
      <c r="K35" s="35">
        <v>0.47</v>
      </c>
      <c r="L35" s="35">
        <v>0.51</v>
      </c>
    </row>
    <row r="36" spans="1:12" ht="22.5">
      <c r="A36" s="21">
        <f t="shared" si="0"/>
        <v>33</v>
      </c>
      <c r="B36" s="34" t="s">
        <v>113</v>
      </c>
      <c r="C36" s="35">
        <v>12.2</v>
      </c>
      <c r="D36" s="35">
        <v>31</v>
      </c>
      <c r="E36" s="35">
        <v>106</v>
      </c>
      <c r="F36" s="36" t="s">
        <v>59</v>
      </c>
      <c r="G36" s="37" t="s">
        <v>114</v>
      </c>
      <c r="H36" s="37" t="s">
        <v>109</v>
      </c>
      <c r="I36" s="38">
        <v>55</v>
      </c>
      <c r="J36" s="38">
        <v>41</v>
      </c>
      <c r="K36" s="35">
        <v>0.54</v>
      </c>
      <c r="L36" s="35">
        <v>0.59</v>
      </c>
    </row>
    <row r="37" spans="1:12" ht="22.5">
      <c r="A37" s="21">
        <f t="shared" si="0"/>
        <v>34</v>
      </c>
      <c r="B37" s="34" t="s">
        <v>115</v>
      </c>
      <c r="C37" s="35">
        <v>12.3</v>
      </c>
      <c r="D37" s="35">
        <v>32</v>
      </c>
      <c r="E37" s="35">
        <v>122</v>
      </c>
      <c r="F37" s="36" t="s">
        <v>59</v>
      </c>
      <c r="G37" s="37" t="s">
        <v>116</v>
      </c>
      <c r="H37" s="37" t="s">
        <v>109</v>
      </c>
      <c r="I37" s="38"/>
      <c r="J37" s="38"/>
      <c r="K37" s="35">
        <v>0.47</v>
      </c>
      <c r="L37" s="35">
        <v>0.51</v>
      </c>
    </row>
    <row r="38" spans="1:12" ht="22.5">
      <c r="A38" s="21">
        <f t="shared" si="0"/>
        <v>35</v>
      </c>
      <c r="B38" s="34" t="s">
        <v>117</v>
      </c>
      <c r="C38" s="35">
        <v>7.9</v>
      </c>
      <c r="D38" s="35">
        <v>98</v>
      </c>
      <c r="E38" s="35">
        <v>219</v>
      </c>
      <c r="F38" s="36" t="s">
        <v>59</v>
      </c>
      <c r="G38" s="37"/>
      <c r="H38" s="37" t="s">
        <v>118</v>
      </c>
      <c r="I38" s="38">
        <v>52</v>
      </c>
      <c r="J38" s="38">
        <v>25</v>
      </c>
      <c r="K38" s="35">
        <v>0.34</v>
      </c>
      <c r="L38" s="35">
        <v>0.36</v>
      </c>
    </row>
    <row r="39" spans="1:12" ht="22.5">
      <c r="A39" s="21">
        <f t="shared" si="0"/>
        <v>36</v>
      </c>
      <c r="B39" s="34" t="s">
        <v>119</v>
      </c>
      <c r="C39" s="35">
        <v>11.8</v>
      </c>
      <c r="D39" s="35">
        <v>62</v>
      </c>
      <c r="E39" s="35">
        <v>148</v>
      </c>
      <c r="F39" s="36" t="s">
        <v>59</v>
      </c>
      <c r="G39" s="37"/>
      <c r="H39" s="37" t="s">
        <v>105</v>
      </c>
      <c r="I39" s="38">
        <v>35</v>
      </c>
      <c r="J39" s="38">
        <v>27</v>
      </c>
      <c r="K39" s="35">
        <v>0.35</v>
      </c>
      <c r="L39" s="35">
        <v>0.38</v>
      </c>
    </row>
    <row r="40" spans="1:12" ht="12.75">
      <c r="A40" s="21">
        <f t="shared" si="0"/>
        <v>37</v>
      </c>
      <c r="B40" s="39" t="s">
        <v>120</v>
      </c>
      <c r="C40" s="35"/>
      <c r="D40" s="35"/>
      <c r="E40" s="35"/>
      <c r="F40" s="36"/>
      <c r="G40" s="37" t="s">
        <v>121</v>
      </c>
      <c r="H40" s="37" t="s">
        <v>37</v>
      </c>
      <c r="I40" s="38"/>
      <c r="J40" s="38"/>
      <c r="K40" s="35"/>
      <c r="L40" s="35"/>
    </row>
    <row r="41" spans="1:12" ht="12.75">
      <c r="A41" s="21">
        <f t="shared" si="0"/>
        <v>38</v>
      </c>
      <c r="B41" s="34" t="s">
        <v>122</v>
      </c>
      <c r="C41" s="35">
        <v>11.3</v>
      </c>
      <c r="D41" s="35">
        <v>52</v>
      </c>
      <c r="E41" s="35">
        <v>113</v>
      </c>
      <c r="F41" s="36">
        <v>77</v>
      </c>
      <c r="G41" s="37"/>
      <c r="H41" s="37" t="s">
        <v>83</v>
      </c>
      <c r="I41" s="38">
        <v>32</v>
      </c>
      <c r="J41" s="38">
        <v>28</v>
      </c>
      <c r="K41" s="35">
        <v>0.38</v>
      </c>
      <c r="L41" s="35">
        <v>0.42</v>
      </c>
    </row>
    <row r="42" spans="1:12" ht="12.75">
      <c r="A42" s="21">
        <f t="shared" si="0"/>
        <v>39</v>
      </c>
      <c r="B42" s="34" t="s">
        <v>123</v>
      </c>
      <c r="C42" s="35">
        <v>11</v>
      </c>
      <c r="D42" s="35">
        <v>51</v>
      </c>
      <c r="E42" s="35">
        <v>173</v>
      </c>
      <c r="F42" s="36" t="s">
        <v>59</v>
      </c>
      <c r="G42" s="37" t="s">
        <v>124</v>
      </c>
      <c r="H42" s="37" t="s">
        <v>83</v>
      </c>
      <c r="I42" s="38">
        <v>39</v>
      </c>
      <c r="J42" s="38">
        <v>23</v>
      </c>
      <c r="K42" s="35">
        <v>0.33</v>
      </c>
      <c r="L42" s="35">
        <v>0.35</v>
      </c>
    </row>
    <row r="43" spans="1:12" ht="22.5">
      <c r="A43" s="21">
        <f t="shared" si="0"/>
        <v>40</v>
      </c>
      <c r="B43" s="34" t="s">
        <v>125</v>
      </c>
      <c r="C43" s="35">
        <v>11.5</v>
      </c>
      <c r="D43" s="35">
        <v>41</v>
      </c>
      <c r="E43" s="35">
        <v>142</v>
      </c>
      <c r="F43" s="36">
        <v>43</v>
      </c>
      <c r="G43" s="37" t="s">
        <v>126</v>
      </c>
      <c r="H43" s="37" t="s">
        <v>93</v>
      </c>
      <c r="I43" s="38">
        <v>33</v>
      </c>
      <c r="J43" s="38">
        <v>28</v>
      </c>
      <c r="K43" s="35">
        <v>0.37</v>
      </c>
      <c r="L43" s="35">
        <v>0.4</v>
      </c>
    </row>
    <row r="44" spans="1:12" ht="12.75">
      <c r="A44" s="21">
        <f t="shared" si="0"/>
        <v>41</v>
      </c>
      <c r="B44" s="34" t="s">
        <v>127</v>
      </c>
      <c r="C44" s="35"/>
      <c r="D44" s="35"/>
      <c r="E44" s="35"/>
      <c r="F44" s="36" t="s">
        <v>59</v>
      </c>
      <c r="G44" s="37"/>
      <c r="H44" s="37" t="s">
        <v>83</v>
      </c>
      <c r="I44" s="38">
        <v>35</v>
      </c>
      <c r="J44" s="38">
        <v>28</v>
      </c>
      <c r="K44" s="35"/>
      <c r="L44" s="35"/>
    </row>
    <row r="45" spans="1:12" ht="12.75">
      <c r="A45" s="21">
        <f t="shared" si="0"/>
        <v>42</v>
      </c>
      <c r="B45" s="39" t="s">
        <v>128</v>
      </c>
      <c r="C45" s="35"/>
      <c r="D45" s="35"/>
      <c r="E45" s="35"/>
      <c r="F45" s="36"/>
      <c r="G45" s="37"/>
      <c r="H45" s="37"/>
      <c r="I45" s="38"/>
      <c r="J45" s="38"/>
      <c r="K45" s="35"/>
      <c r="L45" s="35"/>
    </row>
    <row r="46" spans="1:12" ht="22.5">
      <c r="A46" s="21">
        <f t="shared" si="0"/>
        <v>43</v>
      </c>
      <c r="B46" s="34" t="s">
        <v>129</v>
      </c>
      <c r="C46" s="35">
        <v>12.6</v>
      </c>
      <c r="D46" s="35" t="s">
        <v>59</v>
      </c>
      <c r="E46" s="35">
        <v>97</v>
      </c>
      <c r="F46" s="36" t="s">
        <v>59</v>
      </c>
      <c r="G46" s="37"/>
      <c r="H46" s="37" t="s">
        <v>130</v>
      </c>
      <c r="I46" s="38">
        <v>46</v>
      </c>
      <c r="J46" s="38">
        <v>28</v>
      </c>
      <c r="K46" s="35">
        <v>0.37</v>
      </c>
      <c r="L46" s="35">
        <v>0.41</v>
      </c>
    </row>
    <row r="47" spans="1:12" ht="12.75">
      <c r="A47" s="21">
        <f t="shared" si="0"/>
        <v>44</v>
      </c>
      <c r="B47" s="34" t="s">
        <v>131</v>
      </c>
      <c r="C47" s="35">
        <v>11.5</v>
      </c>
      <c r="D47" s="35">
        <v>95</v>
      </c>
      <c r="E47" s="35">
        <v>113</v>
      </c>
      <c r="F47" s="36" t="s">
        <v>59</v>
      </c>
      <c r="G47" s="37"/>
      <c r="H47" s="37" t="s">
        <v>132</v>
      </c>
      <c r="I47" s="38">
        <v>43</v>
      </c>
      <c r="J47" s="38">
        <v>26</v>
      </c>
      <c r="K47" s="35">
        <v>0.35</v>
      </c>
      <c r="L47" s="35">
        <v>0.38</v>
      </c>
    </row>
    <row r="48" spans="1:12" ht="45">
      <c r="A48" s="21">
        <f t="shared" si="0"/>
        <v>45</v>
      </c>
      <c r="B48" s="34" t="s">
        <v>133</v>
      </c>
      <c r="C48" s="35">
        <v>15.8</v>
      </c>
      <c r="D48" s="35">
        <v>81</v>
      </c>
      <c r="E48" s="35">
        <v>133</v>
      </c>
      <c r="F48" s="36" t="s">
        <v>59</v>
      </c>
      <c r="G48" s="37"/>
      <c r="H48" s="37" t="s">
        <v>134</v>
      </c>
      <c r="I48" s="38">
        <v>42</v>
      </c>
      <c r="J48" s="38">
        <v>26</v>
      </c>
      <c r="K48" s="35">
        <v>0.32</v>
      </c>
      <c r="L48" s="35">
        <v>0.37</v>
      </c>
    </row>
    <row r="49" spans="1:12" ht="33.75">
      <c r="A49" s="21">
        <f t="shared" si="0"/>
        <v>46</v>
      </c>
      <c r="B49" s="34" t="s">
        <v>135</v>
      </c>
      <c r="C49" s="35">
        <v>17.2</v>
      </c>
      <c r="D49" s="35">
        <v>55</v>
      </c>
      <c r="E49" s="35">
        <v>72</v>
      </c>
      <c r="F49" s="36" t="s">
        <v>59</v>
      </c>
      <c r="G49" s="37"/>
      <c r="H49" s="37" t="s">
        <v>136</v>
      </c>
      <c r="I49" s="38">
        <v>54</v>
      </c>
      <c r="J49" s="38">
        <v>45</v>
      </c>
      <c r="K49" s="35">
        <v>0.56</v>
      </c>
      <c r="L49" s="35">
        <v>0.64</v>
      </c>
    </row>
    <row r="50" spans="1:12" ht="22.5">
      <c r="A50" s="21">
        <f t="shared" si="0"/>
        <v>47</v>
      </c>
      <c r="B50" s="34" t="s">
        <v>137</v>
      </c>
      <c r="C50" s="35">
        <v>12.5</v>
      </c>
      <c r="D50" s="35" t="s">
        <v>59</v>
      </c>
      <c r="E50" s="35" t="s">
        <v>59</v>
      </c>
      <c r="F50" s="36">
        <v>141</v>
      </c>
      <c r="G50" s="37"/>
      <c r="H50" s="37" t="s">
        <v>138</v>
      </c>
      <c r="I50" s="38">
        <v>49</v>
      </c>
      <c r="J50" s="38">
        <v>25</v>
      </c>
      <c r="K50" s="35">
        <v>0.33</v>
      </c>
      <c r="L50" s="35">
        <v>0.36</v>
      </c>
    </row>
    <row r="51" spans="1:12" ht="12.75">
      <c r="A51" s="21">
        <f t="shared" si="0"/>
        <v>48</v>
      </c>
      <c r="B51" s="34" t="s">
        <v>139</v>
      </c>
      <c r="C51" s="35">
        <v>10.6</v>
      </c>
      <c r="D51" s="35" t="s">
        <v>59</v>
      </c>
      <c r="E51" s="35" t="s">
        <v>59</v>
      </c>
      <c r="F51" s="36">
        <v>104</v>
      </c>
      <c r="G51" s="37" t="s">
        <v>60</v>
      </c>
      <c r="H51" s="37" t="s">
        <v>60</v>
      </c>
      <c r="I51" s="38">
        <v>46</v>
      </c>
      <c r="J51" s="38">
        <v>27</v>
      </c>
      <c r="K51" s="35">
        <v>0.36</v>
      </c>
      <c r="L51" s="35">
        <v>0.38</v>
      </c>
    </row>
    <row r="52" spans="1:12" ht="22.5">
      <c r="A52" s="21">
        <f t="shared" si="0"/>
        <v>49</v>
      </c>
      <c r="B52" s="34" t="s">
        <v>140</v>
      </c>
      <c r="C52" s="35">
        <v>11.5</v>
      </c>
      <c r="D52" s="35">
        <v>58</v>
      </c>
      <c r="E52" s="35" t="s">
        <v>59</v>
      </c>
      <c r="F52" s="36" t="s">
        <v>59</v>
      </c>
      <c r="G52" s="37"/>
      <c r="H52" s="37" t="s">
        <v>141</v>
      </c>
      <c r="I52" s="38">
        <v>45</v>
      </c>
      <c r="J52" s="38">
        <v>35</v>
      </c>
      <c r="K52" s="35">
        <v>0.47</v>
      </c>
      <c r="L52" s="35">
        <v>0.5</v>
      </c>
    </row>
    <row r="53" spans="1:12" ht="33.75">
      <c r="A53" s="21">
        <f t="shared" si="0"/>
        <v>50</v>
      </c>
      <c r="B53" s="34" t="s">
        <v>142</v>
      </c>
      <c r="C53" s="35">
        <v>12.4</v>
      </c>
      <c r="D53" s="35">
        <v>162</v>
      </c>
      <c r="E53" s="35">
        <v>146</v>
      </c>
      <c r="F53" s="36" t="s">
        <v>59</v>
      </c>
      <c r="G53" s="37"/>
      <c r="H53" s="37" t="s">
        <v>143</v>
      </c>
      <c r="I53" s="38">
        <v>46</v>
      </c>
      <c r="J53" s="38">
        <v>26</v>
      </c>
      <c r="K53" s="35">
        <v>0.31</v>
      </c>
      <c r="L53" s="35">
        <v>0.35</v>
      </c>
    </row>
    <row r="54" spans="1:12" ht="45">
      <c r="A54" s="21">
        <f t="shared" si="0"/>
        <v>51</v>
      </c>
      <c r="B54" s="34" t="s">
        <v>144</v>
      </c>
      <c r="C54" s="35">
        <v>10.2</v>
      </c>
      <c r="D54" s="35" t="s">
        <v>59</v>
      </c>
      <c r="E54" s="35" t="s">
        <v>59</v>
      </c>
      <c r="F54" s="36">
        <v>40</v>
      </c>
      <c r="G54" s="37" t="s">
        <v>145</v>
      </c>
      <c r="H54" s="37" t="s">
        <v>146</v>
      </c>
      <c r="I54" s="38">
        <v>58</v>
      </c>
      <c r="J54" s="38">
        <v>48</v>
      </c>
      <c r="K54" s="35">
        <v>0.66</v>
      </c>
      <c r="L54" s="35">
        <v>0.69</v>
      </c>
    </row>
    <row r="55" spans="1:12" ht="12.75">
      <c r="A55" s="21">
        <f t="shared" si="0"/>
        <v>52</v>
      </c>
      <c r="B55" s="34" t="s">
        <v>147</v>
      </c>
      <c r="C55" s="35">
        <v>15.8</v>
      </c>
      <c r="D55" s="35">
        <v>79</v>
      </c>
      <c r="E55" s="35">
        <v>137</v>
      </c>
      <c r="F55" s="36" t="s">
        <v>59</v>
      </c>
      <c r="G55" s="37"/>
      <c r="H55" s="37" t="s">
        <v>63</v>
      </c>
      <c r="I55" s="38">
        <v>50</v>
      </c>
      <c r="J55" s="38">
        <v>34</v>
      </c>
      <c r="K55" s="35">
        <v>0.46</v>
      </c>
      <c r="L55" s="35">
        <v>0.52</v>
      </c>
    </row>
    <row r="56" spans="1:12" ht="33.75">
      <c r="A56" s="21">
        <f t="shared" si="0"/>
        <v>53</v>
      </c>
      <c r="B56" s="34" t="s">
        <v>148</v>
      </c>
      <c r="C56" s="35">
        <v>14.6</v>
      </c>
      <c r="D56" s="35">
        <v>95</v>
      </c>
      <c r="E56" s="35">
        <v>92</v>
      </c>
      <c r="F56" s="36" t="s">
        <v>59</v>
      </c>
      <c r="G56" s="37"/>
      <c r="H56" s="37" t="s">
        <v>149</v>
      </c>
      <c r="I56" s="38">
        <v>54</v>
      </c>
      <c r="J56" s="38">
        <v>35</v>
      </c>
      <c r="K56" s="35">
        <v>0.46</v>
      </c>
      <c r="L56" s="35">
        <v>0.5</v>
      </c>
    </row>
    <row r="57" spans="1:12" ht="12.75">
      <c r="A57" s="21">
        <f t="shared" si="0"/>
        <v>54</v>
      </c>
      <c r="B57" s="34" t="s">
        <v>150</v>
      </c>
      <c r="C57" s="35">
        <v>14.1</v>
      </c>
      <c r="D57" s="35">
        <v>114</v>
      </c>
      <c r="E57" s="35">
        <v>130</v>
      </c>
      <c r="F57" s="36" t="s">
        <v>59</v>
      </c>
      <c r="G57" s="37"/>
      <c r="H57" s="37" t="s">
        <v>151</v>
      </c>
      <c r="I57" s="38">
        <v>52</v>
      </c>
      <c r="J57" s="38">
        <v>34</v>
      </c>
      <c r="K57" s="35">
        <v>0.46</v>
      </c>
      <c r="L57" s="35">
        <v>0.49</v>
      </c>
    </row>
    <row r="58" spans="1:12" ht="33.75">
      <c r="A58" s="21">
        <f t="shared" si="0"/>
        <v>55</v>
      </c>
      <c r="B58" s="34" t="s">
        <v>152</v>
      </c>
      <c r="C58" s="35">
        <v>12.8</v>
      </c>
      <c r="D58" s="35">
        <v>90</v>
      </c>
      <c r="E58" s="35">
        <v>73</v>
      </c>
      <c r="F58" s="36" t="s">
        <v>59</v>
      </c>
      <c r="G58" s="37"/>
      <c r="H58" s="37" t="s">
        <v>153</v>
      </c>
      <c r="I58" s="38">
        <v>58</v>
      </c>
      <c r="J58" s="38">
        <v>38</v>
      </c>
      <c r="K58" s="35">
        <v>0.51</v>
      </c>
      <c r="L58" s="35">
        <v>0.55</v>
      </c>
    </row>
    <row r="59" spans="1:12" ht="12.75">
      <c r="A59" s="21">
        <f t="shared" si="0"/>
        <v>56</v>
      </c>
      <c r="B59" s="34" t="s">
        <v>154</v>
      </c>
      <c r="C59" s="35">
        <v>13.9</v>
      </c>
      <c r="D59" s="35" t="s">
        <v>59</v>
      </c>
      <c r="E59" s="35" t="s">
        <v>59</v>
      </c>
      <c r="F59" s="36">
        <v>139</v>
      </c>
      <c r="G59" s="37"/>
      <c r="H59" s="37"/>
      <c r="I59" s="38">
        <v>50</v>
      </c>
      <c r="J59" s="38">
        <v>26</v>
      </c>
      <c r="K59" s="35">
        <v>0.36</v>
      </c>
      <c r="L59" s="35">
        <v>0.39</v>
      </c>
    </row>
    <row r="60" spans="1:12" ht="33.75">
      <c r="A60" s="21">
        <f t="shared" si="0"/>
        <v>57</v>
      </c>
      <c r="B60" s="34" t="s">
        <v>155</v>
      </c>
      <c r="C60" s="35">
        <v>12.7</v>
      </c>
      <c r="D60" s="35">
        <v>83</v>
      </c>
      <c r="E60" s="35">
        <v>106</v>
      </c>
      <c r="F60" s="36" t="s">
        <v>59</v>
      </c>
      <c r="G60" s="37"/>
      <c r="H60" s="37" t="s">
        <v>156</v>
      </c>
      <c r="I60" s="38">
        <v>38</v>
      </c>
      <c r="J60" s="38">
        <v>28</v>
      </c>
      <c r="K60" s="35">
        <v>0.4</v>
      </c>
      <c r="L60" s="35">
        <v>0.42</v>
      </c>
    </row>
    <row r="61" spans="1:12" ht="12.75">
      <c r="A61" s="21">
        <f t="shared" si="0"/>
        <v>58</v>
      </c>
      <c r="B61" s="39" t="s">
        <v>157</v>
      </c>
      <c r="C61" s="35"/>
      <c r="D61" s="35"/>
      <c r="E61" s="35"/>
      <c r="F61" s="36"/>
      <c r="G61" s="37" t="s">
        <v>116</v>
      </c>
      <c r="H61" s="37" t="s">
        <v>37</v>
      </c>
      <c r="I61" s="38"/>
      <c r="J61" s="38"/>
      <c r="K61" s="35"/>
      <c r="L61" s="35"/>
    </row>
    <row r="62" spans="1:12" ht="12.75">
      <c r="A62" s="21">
        <f t="shared" si="0"/>
        <v>59</v>
      </c>
      <c r="B62" s="34" t="s">
        <v>158</v>
      </c>
      <c r="C62" s="35">
        <v>15.2</v>
      </c>
      <c r="D62" s="35">
        <v>95</v>
      </c>
      <c r="E62" s="35" t="s">
        <v>59</v>
      </c>
      <c r="F62" s="36" t="s">
        <v>59</v>
      </c>
      <c r="G62" s="37"/>
      <c r="H62" s="37" t="s">
        <v>159</v>
      </c>
      <c r="I62" s="38">
        <v>52</v>
      </c>
      <c r="J62" s="38">
        <v>34</v>
      </c>
      <c r="K62" s="35">
        <v>0.45</v>
      </c>
      <c r="L62" s="35">
        <v>0.49</v>
      </c>
    </row>
    <row r="63" spans="1:12" ht="12.75">
      <c r="A63" s="21">
        <f t="shared" si="0"/>
        <v>60</v>
      </c>
      <c r="B63" s="34" t="s">
        <v>160</v>
      </c>
      <c r="C63" s="35">
        <v>12.5</v>
      </c>
      <c r="D63" s="35" t="s">
        <v>59</v>
      </c>
      <c r="E63" s="35">
        <v>58</v>
      </c>
      <c r="F63" s="36" t="s">
        <v>59</v>
      </c>
      <c r="G63" s="37"/>
      <c r="H63" s="37"/>
      <c r="I63" s="38">
        <v>49</v>
      </c>
      <c r="J63" s="38">
        <v>40</v>
      </c>
      <c r="K63" s="35">
        <v>0.53</v>
      </c>
      <c r="L63" s="35">
        <v>0.56</v>
      </c>
    </row>
    <row r="64" spans="1:12" ht="22.5">
      <c r="A64" s="21">
        <f t="shared" si="0"/>
        <v>61</v>
      </c>
      <c r="B64" s="34" t="s">
        <v>161</v>
      </c>
      <c r="C64" s="35">
        <v>13.3</v>
      </c>
      <c r="D64" s="35">
        <v>46</v>
      </c>
      <c r="E64" s="35">
        <v>44</v>
      </c>
      <c r="F64" s="36" t="s">
        <v>59</v>
      </c>
      <c r="G64" s="37"/>
      <c r="H64" s="37" t="s">
        <v>162</v>
      </c>
      <c r="I64" s="38">
        <v>48</v>
      </c>
      <c r="J64" s="38">
        <v>42</v>
      </c>
      <c r="K64" s="35">
        <v>0.55</v>
      </c>
      <c r="L64" s="35">
        <v>0.6</v>
      </c>
    </row>
    <row r="65" spans="1:12" ht="12.75">
      <c r="A65" s="21">
        <f t="shared" si="0"/>
        <v>62</v>
      </c>
      <c r="B65" s="39" t="s">
        <v>163</v>
      </c>
      <c r="C65" s="35"/>
      <c r="D65" s="35"/>
      <c r="E65" s="35"/>
      <c r="F65" s="36"/>
      <c r="G65" s="37"/>
      <c r="H65" s="37"/>
      <c r="I65" s="38"/>
      <c r="J65" s="38"/>
      <c r="K65" s="35"/>
      <c r="L65" s="35"/>
    </row>
    <row r="66" spans="1:12" ht="12.75">
      <c r="A66" s="21">
        <f t="shared" si="0"/>
        <v>63</v>
      </c>
      <c r="B66" s="34" t="s">
        <v>164</v>
      </c>
      <c r="C66" s="35">
        <v>16.2</v>
      </c>
      <c r="D66" s="35">
        <v>89</v>
      </c>
      <c r="E66" s="35">
        <v>72</v>
      </c>
      <c r="F66" s="36" t="s">
        <v>59</v>
      </c>
      <c r="G66" s="37"/>
      <c r="H66" s="37" t="s">
        <v>132</v>
      </c>
      <c r="I66" s="38">
        <v>50</v>
      </c>
      <c r="J66" s="38">
        <v>38</v>
      </c>
      <c r="K66" s="35">
        <v>0.48</v>
      </c>
      <c r="L66" s="35">
        <v>0.55</v>
      </c>
    </row>
    <row r="67" spans="1:12" ht="12.75">
      <c r="A67" s="21">
        <f t="shared" si="0"/>
        <v>64</v>
      </c>
      <c r="B67" s="34" t="s">
        <v>165</v>
      </c>
      <c r="C67" s="35">
        <v>16.8</v>
      </c>
      <c r="D67" s="35">
        <v>74</v>
      </c>
      <c r="E67" s="35">
        <v>72</v>
      </c>
      <c r="F67" s="36" t="s">
        <v>59</v>
      </c>
      <c r="G67" s="37"/>
      <c r="H67" s="37" t="s">
        <v>63</v>
      </c>
      <c r="I67" s="38">
        <v>57</v>
      </c>
      <c r="J67" s="38">
        <v>43</v>
      </c>
      <c r="K67" s="35">
        <v>0.55</v>
      </c>
      <c r="L67" s="35">
        <v>0.62</v>
      </c>
    </row>
    <row r="68" spans="1:12" ht="12.75">
      <c r="A68" s="21">
        <f t="shared" si="0"/>
        <v>65</v>
      </c>
      <c r="B68" s="39" t="s">
        <v>166</v>
      </c>
      <c r="C68" s="35"/>
      <c r="D68" s="35"/>
      <c r="E68" s="35"/>
      <c r="F68" s="36"/>
      <c r="G68" s="37" t="s">
        <v>116</v>
      </c>
      <c r="H68" s="37" t="s">
        <v>63</v>
      </c>
      <c r="I68" s="38"/>
      <c r="J68" s="38"/>
      <c r="K68" s="35"/>
      <c r="L68" s="35"/>
    </row>
    <row r="69" spans="1:12" ht="12.75">
      <c r="A69" s="21">
        <f t="shared" si="0"/>
        <v>66</v>
      </c>
      <c r="B69" s="34" t="s">
        <v>167</v>
      </c>
      <c r="C69" s="35"/>
      <c r="D69" s="35">
        <v>80</v>
      </c>
      <c r="E69" s="35">
        <v>54</v>
      </c>
      <c r="F69" s="36" t="s">
        <v>59</v>
      </c>
      <c r="G69" s="37"/>
      <c r="H69" s="37" t="s">
        <v>37</v>
      </c>
      <c r="I69" s="38">
        <v>63</v>
      </c>
      <c r="J69" s="38">
        <v>46</v>
      </c>
      <c r="K69" s="35"/>
      <c r="L69" s="35"/>
    </row>
    <row r="70" spans="1:12" ht="12.75">
      <c r="A70" s="21">
        <f aca="true" t="shared" si="1" ref="A70:A84">A69+1</f>
        <v>67</v>
      </c>
      <c r="B70" s="34" t="s">
        <v>168</v>
      </c>
      <c r="C70" s="35">
        <v>17.8</v>
      </c>
      <c r="D70" s="35">
        <v>70</v>
      </c>
      <c r="E70" s="35">
        <v>52</v>
      </c>
      <c r="F70" s="36" t="s">
        <v>59</v>
      </c>
      <c r="G70" s="37"/>
      <c r="H70" s="37" t="s">
        <v>37</v>
      </c>
      <c r="I70" s="38">
        <v>64</v>
      </c>
      <c r="J70" s="38">
        <v>51</v>
      </c>
      <c r="K70" s="35">
        <v>0.64</v>
      </c>
      <c r="L70" s="35">
        <v>0.72</v>
      </c>
    </row>
    <row r="71" spans="1:12" ht="12.75">
      <c r="A71" s="21">
        <f t="shared" si="1"/>
        <v>68</v>
      </c>
      <c r="B71" s="34" t="s">
        <v>169</v>
      </c>
      <c r="C71" s="35">
        <v>17.9</v>
      </c>
      <c r="D71" s="35">
        <v>71</v>
      </c>
      <c r="E71" s="35">
        <v>49</v>
      </c>
      <c r="F71" s="36" t="s">
        <v>59</v>
      </c>
      <c r="G71" s="37"/>
      <c r="H71" s="37"/>
      <c r="I71" s="38">
        <v>63</v>
      </c>
      <c r="J71" s="38">
        <v>52</v>
      </c>
      <c r="K71" s="35">
        <v>0.66</v>
      </c>
      <c r="L71" s="35">
        <v>0.75</v>
      </c>
    </row>
    <row r="72" spans="1:12" ht="12.75">
      <c r="A72" s="21">
        <f t="shared" si="1"/>
        <v>69</v>
      </c>
      <c r="B72" s="34" t="s">
        <v>170</v>
      </c>
      <c r="C72" s="35"/>
      <c r="D72" s="35">
        <v>97</v>
      </c>
      <c r="E72" s="35">
        <v>62</v>
      </c>
      <c r="F72" s="36" t="s">
        <v>59</v>
      </c>
      <c r="G72" s="37"/>
      <c r="H72" s="37"/>
      <c r="I72" s="38">
        <v>68</v>
      </c>
      <c r="J72" s="38">
        <v>43</v>
      </c>
      <c r="K72" s="35"/>
      <c r="L72" s="35"/>
    </row>
    <row r="73" spans="1:12" ht="22.5">
      <c r="A73" s="21">
        <f t="shared" si="1"/>
        <v>70</v>
      </c>
      <c r="B73" s="39" t="s">
        <v>171</v>
      </c>
      <c r="C73" s="35"/>
      <c r="D73" s="35"/>
      <c r="E73" s="35"/>
      <c r="F73" s="36"/>
      <c r="G73" s="37" t="s">
        <v>116</v>
      </c>
      <c r="H73" s="37" t="s">
        <v>93</v>
      </c>
      <c r="I73" s="38"/>
      <c r="J73" s="38"/>
      <c r="K73" s="35"/>
      <c r="L73" s="35"/>
    </row>
    <row r="74" spans="1:12" ht="12.75">
      <c r="A74" s="21">
        <f t="shared" si="1"/>
        <v>71</v>
      </c>
      <c r="B74" s="34" t="s">
        <v>172</v>
      </c>
      <c r="C74" s="35">
        <v>12</v>
      </c>
      <c r="D74" s="35">
        <v>58</v>
      </c>
      <c r="E74" s="35">
        <v>97</v>
      </c>
      <c r="F74" s="36" t="s">
        <v>59</v>
      </c>
      <c r="G74" s="37"/>
      <c r="H74" s="37"/>
      <c r="I74" s="38">
        <v>45</v>
      </c>
      <c r="J74" s="38">
        <v>33</v>
      </c>
      <c r="K74" s="35">
        <v>0.44</v>
      </c>
      <c r="L74" s="35">
        <v>0.47</v>
      </c>
    </row>
    <row r="75" spans="1:12" ht="12.75">
      <c r="A75" s="21">
        <f t="shared" si="1"/>
        <v>72</v>
      </c>
      <c r="B75" s="34" t="s">
        <v>173</v>
      </c>
      <c r="C75" s="35">
        <v>14.7</v>
      </c>
      <c r="D75" s="35">
        <v>65</v>
      </c>
      <c r="E75" s="35">
        <v>72</v>
      </c>
      <c r="F75" s="36" t="s">
        <v>59</v>
      </c>
      <c r="G75" s="37"/>
      <c r="H75" s="37"/>
      <c r="I75" s="38">
        <v>56</v>
      </c>
      <c r="J75" s="38">
        <v>44</v>
      </c>
      <c r="K75" s="35">
        <v>0.56</v>
      </c>
      <c r="L75" s="35">
        <v>0.63</v>
      </c>
    </row>
    <row r="76" spans="1:12" ht="12.75">
      <c r="A76" s="21">
        <f t="shared" si="1"/>
        <v>73</v>
      </c>
      <c r="B76" s="39" t="s">
        <v>174</v>
      </c>
      <c r="C76" s="35"/>
      <c r="D76" s="35"/>
      <c r="E76" s="35"/>
      <c r="F76" s="36"/>
      <c r="G76" s="37"/>
      <c r="H76" s="37"/>
      <c r="I76" s="38"/>
      <c r="J76" s="38"/>
      <c r="K76" s="35"/>
      <c r="L76" s="35"/>
    </row>
    <row r="77" spans="1:12" ht="22.5">
      <c r="A77" s="21">
        <f t="shared" si="1"/>
        <v>74</v>
      </c>
      <c r="B77" s="34" t="s">
        <v>175</v>
      </c>
      <c r="C77" s="35">
        <v>13.7</v>
      </c>
      <c r="D77" s="35">
        <v>80</v>
      </c>
      <c r="E77" s="35">
        <v>69</v>
      </c>
      <c r="F77" s="36" t="s">
        <v>59</v>
      </c>
      <c r="G77" s="37"/>
      <c r="H77" s="37" t="s">
        <v>176</v>
      </c>
      <c r="I77" s="38">
        <v>63</v>
      </c>
      <c r="J77" s="38">
        <v>44</v>
      </c>
      <c r="K77" s="35">
        <v>0.56</v>
      </c>
      <c r="L77" s="35">
        <v>0.63</v>
      </c>
    </row>
    <row r="78" spans="1:12" ht="22.5">
      <c r="A78" s="21">
        <f t="shared" si="1"/>
        <v>75</v>
      </c>
      <c r="B78" s="34" t="s">
        <v>177</v>
      </c>
      <c r="C78" s="35">
        <v>16.1</v>
      </c>
      <c r="D78" s="35">
        <v>83</v>
      </c>
      <c r="E78" s="35">
        <v>75</v>
      </c>
      <c r="F78" s="36" t="s">
        <v>59</v>
      </c>
      <c r="G78" s="37"/>
      <c r="H78" s="37" t="s">
        <v>176</v>
      </c>
      <c r="I78" s="38">
        <v>62</v>
      </c>
      <c r="J78" s="38">
        <v>41</v>
      </c>
      <c r="K78" s="35">
        <v>0.52</v>
      </c>
      <c r="L78" s="35">
        <v>0.59</v>
      </c>
    </row>
    <row r="79" spans="1:12" ht="12.75">
      <c r="A79" s="21">
        <f t="shared" si="1"/>
        <v>76</v>
      </c>
      <c r="B79" s="34" t="s">
        <v>178</v>
      </c>
      <c r="C79" s="35"/>
      <c r="D79" s="35">
        <v>79</v>
      </c>
      <c r="E79" s="35">
        <v>66</v>
      </c>
      <c r="F79" s="36" t="s">
        <v>59</v>
      </c>
      <c r="G79" s="37"/>
      <c r="H79" s="37" t="s">
        <v>159</v>
      </c>
      <c r="I79" s="38">
        <v>69</v>
      </c>
      <c r="J79" s="38">
        <v>50</v>
      </c>
      <c r="K79" s="35"/>
      <c r="L79" s="35"/>
    </row>
    <row r="80" spans="1:12" ht="12.75">
      <c r="A80" s="21">
        <f t="shared" si="1"/>
        <v>77</v>
      </c>
      <c r="B80" s="34" t="s">
        <v>179</v>
      </c>
      <c r="C80" s="35">
        <v>16.3</v>
      </c>
      <c r="D80" s="35">
        <v>64</v>
      </c>
      <c r="E80" s="35">
        <v>78</v>
      </c>
      <c r="F80" s="36" t="s">
        <v>59</v>
      </c>
      <c r="G80" s="37"/>
      <c r="H80" s="37" t="s">
        <v>159</v>
      </c>
      <c r="I80" s="38">
        <v>62</v>
      </c>
      <c r="J80" s="38">
        <v>48</v>
      </c>
      <c r="K80" s="35">
        <v>0.6</v>
      </c>
      <c r="L80" s="35">
        <v>0.68</v>
      </c>
    </row>
    <row r="81" spans="1:12" ht="12.75">
      <c r="A81" s="21">
        <f t="shared" si="1"/>
        <v>78</v>
      </c>
      <c r="B81" s="39" t="s">
        <v>180</v>
      </c>
      <c r="C81" s="35"/>
      <c r="D81" s="35"/>
      <c r="E81" s="35"/>
      <c r="F81" s="36"/>
      <c r="G81" s="37"/>
      <c r="H81" s="37"/>
      <c r="I81" s="38"/>
      <c r="J81" s="38"/>
      <c r="K81" s="35"/>
      <c r="L81" s="35"/>
    </row>
    <row r="82" spans="1:12" ht="12.75">
      <c r="A82" s="21">
        <f t="shared" si="1"/>
        <v>79</v>
      </c>
      <c r="B82" s="34" t="s">
        <v>181</v>
      </c>
      <c r="C82" s="35">
        <v>14.4</v>
      </c>
      <c r="D82" s="35">
        <v>87</v>
      </c>
      <c r="E82" s="35">
        <v>115</v>
      </c>
      <c r="F82" s="36" t="s">
        <v>59</v>
      </c>
      <c r="G82" s="37"/>
      <c r="H82" s="37" t="s">
        <v>182</v>
      </c>
      <c r="I82" s="38">
        <v>45</v>
      </c>
      <c r="J82" s="38">
        <v>35</v>
      </c>
      <c r="K82" s="35">
        <v>0.46</v>
      </c>
      <c r="L82" s="35">
        <v>0.5</v>
      </c>
    </row>
    <row r="83" spans="1:12" ht="12.75">
      <c r="A83" s="21">
        <f t="shared" si="1"/>
        <v>80</v>
      </c>
      <c r="B83" s="34" t="s">
        <v>183</v>
      </c>
      <c r="C83" s="35"/>
      <c r="D83" s="35">
        <v>101</v>
      </c>
      <c r="E83" s="35">
        <v>108</v>
      </c>
      <c r="F83" s="36" t="s">
        <v>59</v>
      </c>
      <c r="G83" s="37"/>
      <c r="H83" s="37"/>
      <c r="I83" s="38"/>
      <c r="J83" s="38"/>
      <c r="K83" s="35"/>
      <c r="L83" s="35"/>
    </row>
    <row r="84" spans="1:12" ht="12.75">
      <c r="A84" s="21">
        <f t="shared" si="1"/>
        <v>81</v>
      </c>
      <c r="B84" s="34" t="s">
        <v>184</v>
      </c>
      <c r="C84" s="35">
        <v>12.5</v>
      </c>
      <c r="D84" s="35">
        <v>150</v>
      </c>
      <c r="E84" s="35">
        <v>116</v>
      </c>
      <c r="F84" s="36" t="s">
        <v>59</v>
      </c>
      <c r="G84" s="37"/>
      <c r="H84" s="37" t="s">
        <v>182</v>
      </c>
      <c r="I84" s="38"/>
      <c r="J84" s="38"/>
      <c r="K84" s="35">
        <v>0.46</v>
      </c>
      <c r="L84" s="35">
        <v>0.5</v>
      </c>
    </row>
    <row r="85" ht="12.75">
      <c r="A85" s="17" t="s">
        <v>30</v>
      </c>
    </row>
    <row r="86" ht="12.75">
      <c r="A86" s="18" t="s">
        <v>31</v>
      </c>
    </row>
    <row r="87" ht="12.75">
      <c r="A87" s="19" t="s">
        <v>32</v>
      </c>
    </row>
    <row r="88" ht="12.75">
      <c r="A88" s="19" t="s">
        <v>33</v>
      </c>
    </row>
    <row r="89" ht="12.75">
      <c r="A89" s="19" t="s">
        <v>34</v>
      </c>
    </row>
    <row r="90" ht="12.75">
      <c r="A90" s="22"/>
    </row>
    <row r="91" ht="12.75">
      <c r="A91" s="22"/>
    </row>
    <row r="92" ht="12.75">
      <c r="A92" s="22"/>
    </row>
    <row r="93" ht="12.75">
      <c r="A93" s="22" t="s">
        <v>322</v>
      </c>
    </row>
    <row r="94" spans="1:13" ht="12.75">
      <c r="A94" s="122"/>
      <c r="B94" s="123"/>
      <c r="C94" s="124"/>
      <c r="D94" s="125"/>
      <c r="E94" s="125"/>
      <c r="F94" s="111"/>
      <c r="G94" s="112"/>
      <c r="H94" s="113"/>
      <c r="I94" s="114"/>
      <c r="J94" s="113"/>
      <c r="K94" s="115"/>
      <c r="L94" s="115"/>
      <c r="M94" s="116"/>
    </row>
    <row r="95" spans="1:13" ht="12.75">
      <c r="A95" s="122"/>
      <c r="B95" s="123"/>
      <c r="C95" s="126" t="s">
        <v>297</v>
      </c>
      <c r="D95" s="126" t="s">
        <v>294</v>
      </c>
      <c r="E95" s="126" t="s">
        <v>296</v>
      </c>
      <c r="F95" s="117"/>
      <c r="G95" s="112"/>
      <c r="H95" s="118"/>
      <c r="I95" s="119"/>
      <c r="J95" s="118"/>
      <c r="K95" s="44"/>
      <c r="L95" s="44"/>
      <c r="M95" s="116"/>
    </row>
    <row r="96" spans="1:13" ht="12.75">
      <c r="A96" s="122"/>
      <c r="B96" s="127" t="s">
        <v>288</v>
      </c>
      <c r="C96" s="128" t="s">
        <v>295</v>
      </c>
      <c r="D96" s="128" t="s">
        <v>295</v>
      </c>
      <c r="E96" s="128" t="s">
        <v>295</v>
      </c>
      <c r="F96" s="120"/>
      <c r="G96" s="121"/>
      <c r="H96" s="118"/>
      <c r="I96" s="119"/>
      <c r="J96" s="119"/>
      <c r="K96" s="120"/>
      <c r="L96" s="120"/>
      <c r="M96" s="116"/>
    </row>
    <row r="97" spans="1:13" ht="12.75">
      <c r="A97" s="22">
        <v>1</v>
      </c>
      <c r="B97" s="97" t="s">
        <v>306</v>
      </c>
      <c r="C97">
        <f aca="true" t="shared" si="2" ref="C97:C103">AVERAGE(D97:E97)</f>
        <v>0</v>
      </c>
      <c r="D97">
        <v>0</v>
      </c>
      <c r="E97">
        <v>0</v>
      </c>
      <c r="F97" s="120"/>
      <c r="G97" s="121"/>
      <c r="H97" s="118"/>
      <c r="I97" s="119"/>
      <c r="J97" s="119"/>
      <c r="K97" s="120"/>
      <c r="L97" s="120"/>
      <c r="M97" s="116"/>
    </row>
    <row r="98" spans="1:13" ht="12.75">
      <c r="A98" s="22">
        <v>2</v>
      </c>
      <c r="B98" s="97" t="s">
        <v>289</v>
      </c>
      <c r="C98">
        <f t="shared" si="2"/>
        <v>10</v>
      </c>
      <c r="D98">
        <v>0</v>
      </c>
      <c r="E98">
        <v>20</v>
      </c>
      <c r="F98" s="116"/>
      <c r="G98" s="116"/>
      <c r="H98" s="116"/>
      <c r="I98" s="116"/>
      <c r="J98" s="116"/>
      <c r="K98" s="116"/>
      <c r="L98" s="116"/>
      <c r="M98" s="116"/>
    </row>
    <row r="99" spans="1:13" ht="12.75">
      <c r="A99" s="22">
        <v>3</v>
      </c>
      <c r="B99" s="97" t="s">
        <v>290</v>
      </c>
      <c r="C99">
        <f t="shared" si="2"/>
        <v>30</v>
      </c>
      <c r="D99">
        <v>20</v>
      </c>
      <c r="E99">
        <v>40</v>
      </c>
      <c r="F99" s="116"/>
      <c r="G99" s="116"/>
      <c r="H99" s="116"/>
      <c r="I99" s="116"/>
      <c r="J99" s="116"/>
      <c r="K99" s="116"/>
      <c r="L99" s="116"/>
      <c r="M99" s="116"/>
    </row>
    <row r="100" spans="1:13" ht="12.75">
      <c r="A100" s="22">
        <v>4</v>
      </c>
      <c r="B100" s="97" t="s">
        <v>291</v>
      </c>
      <c r="C100">
        <f t="shared" si="2"/>
        <v>50</v>
      </c>
      <c r="D100">
        <v>40</v>
      </c>
      <c r="E100">
        <v>60</v>
      </c>
      <c r="F100" s="116"/>
      <c r="G100" s="116"/>
      <c r="H100" s="116"/>
      <c r="I100" s="116"/>
      <c r="J100" s="116"/>
      <c r="K100" s="116"/>
      <c r="L100" s="116"/>
      <c r="M100" s="116"/>
    </row>
    <row r="101" spans="1:13" ht="12.75">
      <c r="A101" s="22">
        <v>5</v>
      </c>
      <c r="B101" s="97" t="s">
        <v>292</v>
      </c>
      <c r="C101">
        <f t="shared" si="2"/>
        <v>70</v>
      </c>
      <c r="D101">
        <v>60</v>
      </c>
      <c r="E101">
        <v>80</v>
      </c>
      <c r="F101" s="116"/>
      <c r="G101" s="116"/>
      <c r="H101" s="116"/>
      <c r="I101" s="116"/>
      <c r="J101" s="116"/>
      <c r="K101" s="116"/>
      <c r="L101" s="116"/>
      <c r="M101" s="116"/>
    </row>
    <row r="102" spans="1:13" ht="12.75">
      <c r="A102" s="22">
        <v>6</v>
      </c>
      <c r="B102" s="97" t="s">
        <v>293</v>
      </c>
      <c r="C102">
        <f t="shared" si="2"/>
        <v>90</v>
      </c>
      <c r="D102">
        <v>80</v>
      </c>
      <c r="E102">
        <v>100</v>
      </c>
      <c r="F102" s="116"/>
      <c r="G102" s="116"/>
      <c r="H102" s="116"/>
      <c r="I102" s="116"/>
      <c r="J102" s="116"/>
      <c r="K102" s="116"/>
      <c r="L102" s="116"/>
      <c r="M102" s="116"/>
    </row>
    <row r="103" spans="1:13" ht="12.75">
      <c r="A103" s="22">
        <v>7</v>
      </c>
      <c r="B103" s="97" t="s">
        <v>305</v>
      </c>
      <c r="C103">
        <f t="shared" si="2"/>
        <v>100</v>
      </c>
      <c r="D103">
        <v>100</v>
      </c>
      <c r="E103">
        <v>100</v>
      </c>
      <c r="F103" s="116"/>
      <c r="G103" s="116"/>
      <c r="H103" s="116"/>
      <c r="I103" s="116"/>
      <c r="J103" s="116"/>
      <c r="K103" s="116"/>
      <c r="L103" s="116"/>
      <c r="M103" s="116"/>
    </row>
    <row r="104" spans="1:13" ht="12.75">
      <c r="A104" s="22"/>
      <c r="F104" s="116"/>
      <c r="G104" s="116"/>
      <c r="H104" s="116"/>
      <c r="I104" s="116"/>
      <c r="J104" s="116"/>
      <c r="K104" s="116"/>
      <c r="L104" s="116"/>
      <c r="M104" s="116"/>
    </row>
    <row r="105" spans="1:13" ht="12.75">
      <c r="A105" s="22"/>
      <c r="F105" s="116"/>
      <c r="G105" s="116"/>
      <c r="H105" s="116"/>
      <c r="I105" s="116"/>
      <c r="J105" s="116"/>
      <c r="K105" s="116"/>
      <c r="L105" s="116"/>
      <c r="M105" s="116"/>
    </row>
    <row r="106" spans="1:13" ht="12.75">
      <c r="A106" s="22"/>
      <c r="F106" s="116"/>
      <c r="G106" s="116"/>
      <c r="H106" s="116"/>
      <c r="I106" s="116"/>
      <c r="J106" s="116"/>
      <c r="K106" s="116"/>
      <c r="L106" s="116"/>
      <c r="M106" s="116"/>
    </row>
    <row r="107" spans="1:13" ht="12.75">
      <c r="A107" s="22"/>
      <c r="F107" s="116"/>
      <c r="G107" s="116"/>
      <c r="H107" s="116"/>
      <c r="I107" s="116"/>
      <c r="J107" s="116"/>
      <c r="K107" s="116"/>
      <c r="L107" s="116"/>
      <c r="M107" s="116"/>
    </row>
    <row r="108" spans="1:13" ht="12.75">
      <c r="A108" s="22"/>
      <c r="F108" s="116"/>
      <c r="G108" s="116"/>
      <c r="H108" s="116"/>
      <c r="I108" s="116"/>
      <c r="J108" s="116"/>
      <c r="K108" s="116"/>
      <c r="L108" s="116"/>
      <c r="M108" s="116"/>
    </row>
    <row r="109" spans="1:13" ht="12.75">
      <c r="A109" s="22"/>
      <c r="F109" s="116"/>
      <c r="G109" s="116"/>
      <c r="H109" s="116"/>
      <c r="I109" s="116"/>
      <c r="J109" s="116"/>
      <c r="K109" s="116"/>
      <c r="L109" s="116"/>
      <c r="M109" s="116"/>
    </row>
    <row r="110" ht="12.75">
      <c r="A110" s="22"/>
    </row>
    <row r="111" ht="12.75">
      <c r="A111" s="22"/>
    </row>
    <row r="112" ht="12.75">
      <c r="A112" s="22"/>
    </row>
    <row r="113" ht="12.75">
      <c r="A113" s="22"/>
    </row>
    <row r="114" ht="12.75">
      <c r="A114" s="22"/>
    </row>
    <row r="115" ht="12.75">
      <c r="A115" s="22"/>
    </row>
    <row r="116" ht="12.75">
      <c r="A116" s="22"/>
    </row>
    <row r="117" ht="12.75">
      <c r="A117" s="22"/>
    </row>
    <row r="118" ht="12.75">
      <c r="A118" s="22"/>
    </row>
    <row r="119" ht="12.75">
      <c r="A119" s="22"/>
    </row>
    <row r="120" ht="12.75">
      <c r="A120" s="22"/>
    </row>
    <row r="121" ht="12.75">
      <c r="A121" s="22"/>
    </row>
    <row r="122" ht="12.75">
      <c r="A122" s="22"/>
    </row>
    <row r="123" ht="12.75">
      <c r="A123" s="22"/>
    </row>
    <row r="124" ht="12.75">
      <c r="A124" s="22"/>
    </row>
    <row r="125" ht="12.75">
      <c r="A125" s="22"/>
    </row>
    <row r="126" ht="12.75">
      <c r="A126" s="22"/>
    </row>
    <row r="127" ht="12.75">
      <c r="A127" s="22"/>
    </row>
    <row r="128" ht="12.75">
      <c r="A128" s="22"/>
    </row>
    <row r="129" ht="12.75">
      <c r="A129" s="22"/>
    </row>
    <row r="130" ht="12.75">
      <c r="A130" s="22"/>
    </row>
  </sheetData>
  <sheetProtection/>
  <mergeCells count="4">
    <mergeCell ref="C1:C3"/>
    <mergeCell ref="D1:F1"/>
    <mergeCell ref="H1:H3"/>
    <mergeCell ref="D2:F2"/>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scott.wright</dc:creator>
  <cp:keywords/>
  <dc:description/>
  <cp:lastModifiedBy>Justin Jacobs</cp:lastModifiedBy>
  <cp:lastPrinted>2009-05-20T17:41:56Z</cp:lastPrinted>
  <dcterms:created xsi:type="dcterms:W3CDTF">2004-03-05T21:03:01Z</dcterms:created>
  <dcterms:modified xsi:type="dcterms:W3CDTF">2012-03-09T15:17:54Z</dcterms:modified>
  <cp:category/>
  <cp:version/>
  <cp:contentType/>
  <cp:contentStatus/>
</cp:coreProperties>
</file>